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560" yWindow="560" windowWidth="25040" windowHeight="15500" activeTab="3"/>
  </bookViews>
  <sheets>
    <sheet name="Info" sheetId="11" r:id="rId1"/>
    <sheet name="Data" sheetId="1" r:id="rId2"/>
    <sheet name="Chart" sheetId="9" r:id="rId3"/>
    <sheet name="Analysis" sheetId="4" r:id="rId4"/>
    <sheet name="Print" sheetId="8" r:id="rId5"/>
    <sheet name="Calcs" sheetId="7" state="hidden" r:id="rId6"/>
  </sheets>
  <definedNames>
    <definedName name="deltaS">Calcs!$B$13</definedName>
    <definedName name="distance_r">Data!$L$3</definedName>
    <definedName name="error">Calcs!$B$9</definedName>
    <definedName name="error_2">Calcs!$B$10</definedName>
    <definedName name="info1">Data!$C$3</definedName>
    <definedName name="info10">Data!$K$4</definedName>
    <definedName name="info11">Data!$K$5</definedName>
    <definedName name="info12">Data!$K$6</definedName>
    <definedName name="info12a">Data!$L$6</definedName>
    <definedName name="info13">Data!$K$7</definedName>
    <definedName name="info13a">Data!$L$7</definedName>
    <definedName name="info14">Data!$K$8</definedName>
    <definedName name="info14a">Data!$L$8</definedName>
    <definedName name="info15">Data!$K$9</definedName>
    <definedName name="info15a">Data!$L$9</definedName>
    <definedName name="info16">Data!$K$10</definedName>
    <definedName name="info16a">Data!$L$10</definedName>
    <definedName name="info1a">Data!$D$3</definedName>
    <definedName name="info2">Data!$C$4</definedName>
    <definedName name="info2a">Data!$D$4</definedName>
    <definedName name="info3">Data!$C$5</definedName>
    <definedName name="info3a">Data!$D$5</definedName>
    <definedName name="info4">Data!$C$6</definedName>
    <definedName name="info4a">Data!$D$6</definedName>
    <definedName name="info5">Data!$C$7</definedName>
    <definedName name="info5a">Data!$D$7</definedName>
    <definedName name="info6">Data!$C$8</definedName>
    <definedName name="info6a">Data!$D$8</definedName>
    <definedName name="info7">Data!$C$9</definedName>
    <definedName name="info7a">Data!$D$9</definedName>
    <definedName name="info8">Data!$C$10</definedName>
    <definedName name="info8a">Data!$D$10</definedName>
    <definedName name="info9">Data!$K$3</definedName>
    <definedName name="intercept">Calcs!$C$8</definedName>
    <definedName name="_xlnm.Print_Area" localSheetId="1">Data!$A:$N</definedName>
    <definedName name="_xlnm.Print_Titles" localSheetId="1">Data!$1:$13</definedName>
    <definedName name="Q">Data!$L$4</definedName>
    <definedName name="slope">Calcs!$B$8</definedName>
    <definedName name="storativity">Calcs!$B$18</definedName>
    <definedName name="SUMXNY2_error">Calcs!$B$10</definedName>
    <definedName name="t0">Calcs!$B$14</definedName>
    <definedName name="transmissivity">Calcs!$B$17</definedName>
    <definedName name="u_0.05">Calcs!$B$22</definedName>
    <definedName name="watertable">Data!$L$5</definedName>
    <definedName name="Xpt1">Calcs!$B$4</definedName>
    <definedName name="Xpt2">Calcs!$B$5</definedName>
    <definedName name="Ypt1">Calcs!$C$4</definedName>
    <definedName name="Ypt2">Calcs!$C$5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7" l="1"/>
  <c r="D4" i="7"/>
  <c r="D5" i="7"/>
  <c r="B8" i="7" a="1"/>
  <c r="B1" i="1"/>
  <c r="M11" i="1"/>
  <c r="H14" i="1"/>
  <c r="B15" i="1"/>
  <c r="C15" i="1"/>
  <c r="H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C16" i="1"/>
  <c r="H16" i="1"/>
  <c r="C17" i="1"/>
  <c r="H17" i="1"/>
  <c r="C18" i="1"/>
  <c r="H18" i="1"/>
  <c r="C19" i="1"/>
  <c r="H19" i="1"/>
  <c r="C20" i="1"/>
  <c r="H20" i="1"/>
  <c r="C21" i="1"/>
  <c r="H21" i="1"/>
  <c r="C22" i="1"/>
  <c r="H22" i="1"/>
  <c r="C23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C34" i="1"/>
  <c r="H34" i="1"/>
  <c r="C35" i="1"/>
  <c r="H35" i="1"/>
  <c r="C36" i="1"/>
  <c r="H36" i="1"/>
  <c r="C37" i="1"/>
  <c r="H37" i="1"/>
  <c r="C38" i="1"/>
  <c r="H38" i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C56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C79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C100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C110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C119" i="1"/>
  <c r="H119" i="1"/>
  <c r="C120" i="1"/>
  <c r="H120" i="1"/>
  <c r="C121" i="1"/>
  <c r="H121" i="1"/>
  <c r="C122" i="1"/>
  <c r="H122" i="1"/>
  <c r="C123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C139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C151" i="1"/>
  <c r="H151" i="1"/>
  <c r="C152" i="1"/>
  <c r="H152" i="1"/>
  <c r="C153" i="1"/>
  <c r="H153" i="1"/>
  <c r="C154" i="1"/>
  <c r="H154" i="1"/>
  <c r="C155" i="1"/>
  <c r="H155" i="1"/>
  <c r="C156" i="1"/>
  <c r="H156" i="1"/>
  <c r="C157" i="1"/>
  <c r="H157" i="1"/>
  <c r="C158" i="1"/>
  <c r="H158" i="1"/>
  <c r="C159" i="1"/>
  <c r="H159" i="1"/>
  <c r="C160" i="1"/>
  <c r="H160" i="1"/>
  <c r="C161" i="1"/>
  <c r="H161" i="1"/>
  <c r="C162" i="1"/>
  <c r="H162" i="1"/>
  <c r="C163" i="1"/>
  <c r="H163" i="1"/>
  <c r="C164" i="1"/>
  <c r="H164" i="1"/>
  <c r="C165" i="1"/>
  <c r="H165" i="1"/>
  <c r="C166" i="1"/>
  <c r="H166" i="1"/>
  <c r="C167" i="1"/>
  <c r="H167" i="1"/>
  <c r="C168" i="1"/>
  <c r="H168" i="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C179" i="1"/>
  <c r="H179" i="1"/>
  <c r="C180" i="1"/>
  <c r="H180" i="1"/>
  <c r="C181" i="1"/>
  <c r="H181" i="1"/>
  <c r="C182" i="1"/>
  <c r="H182" i="1"/>
  <c r="C183" i="1"/>
  <c r="H183" i="1"/>
  <c r="C184" i="1"/>
  <c r="H184" i="1"/>
  <c r="C185" i="1"/>
  <c r="H185" i="1"/>
  <c r="C186" i="1"/>
  <c r="H186" i="1"/>
  <c r="C187" i="1"/>
  <c r="H187" i="1"/>
  <c r="C188" i="1"/>
  <c r="H188" i="1"/>
  <c r="C189" i="1"/>
  <c r="H189" i="1"/>
  <c r="B190" i="1"/>
  <c r="C190" i="1"/>
  <c r="H190" i="1"/>
  <c r="K190" i="1"/>
  <c r="B191" i="1"/>
  <c r="C191" i="1"/>
  <c r="H191" i="1"/>
  <c r="K191" i="1"/>
  <c r="B192" i="1"/>
  <c r="C192" i="1"/>
  <c r="H192" i="1"/>
  <c r="K192" i="1"/>
  <c r="B193" i="1"/>
  <c r="C193" i="1"/>
  <c r="H193" i="1"/>
  <c r="K193" i="1"/>
  <c r="B194" i="1"/>
  <c r="C194" i="1"/>
  <c r="H194" i="1"/>
  <c r="K194" i="1"/>
  <c r="B195" i="1"/>
  <c r="C195" i="1"/>
  <c r="H195" i="1"/>
  <c r="K195" i="1"/>
  <c r="B196" i="1"/>
  <c r="C196" i="1"/>
  <c r="H196" i="1"/>
  <c r="K196" i="1"/>
  <c r="B197" i="1"/>
  <c r="C197" i="1"/>
  <c r="H197" i="1"/>
  <c r="K197" i="1"/>
  <c r="B198" i="1"/>
  <c r="C198" i="1"/>
  <c r="H198" i="1"/>
  <c r="K198" i="1"/>
  <c r="B199" i="1"/>
  <c r="C199" i="1"/>
  <c r="H199" i="1"/>
  <c r="K199" i="1"/>
  <c r="B200" i="1"/>
  <c r="C200" i="1"/>
  <c r="H200" i="1"/>
  <c r="K200" i="1"/>
  <c r="B201" i="1"/>
  <c r="C201" i="1"/>
  <c r="H201" i="1"/>
  <c r="K201" i="1"/>
  <c r="B1" i="8"/>
  <c r="B3" i="8"/>
  <c r="F3" i="8"/>
  <c r="B4" i="8"/>
  <c r="F4" i="8"/>
  <c r="B5" i="8"/>
  <c r="F5" i="8"/>
  <c r="B6" i="8"/>
  <c r="F6" i="8"/>
  <c r="B7" i="8"/>
  <c r="F7" i="8"/>
  <c r="B8" i="8"/>
  <c r="F8" i="8"/>
  <c r="B9" i="8"/>
  <c r="F9" i="8"/>
  <c r="B10" i="8"/>
  <c r="F10" i="8"/>
  <c r="B13" i="8"/>
  <c r="C13" i="8"/>
  <c r="B56" i="8"/>
  <c r="K30" i="1"/>
  <c r="B8" i="7"/>
  <c r="C8" i="7"/>
  <c r="K46" i="1"/>
  <c r="K62" i="1"/>
  <c r="K110" i="1"/>
  <c r="K126" i="1"/>
  <c r="K142" i="1"/>
  <c r="K158" i="1"/>
  <c r="K174" i="1"/>
  <c r="K178" i="1"/>
  <c r="K146" i="1"/>
  <c r="K114" i="1"/>
  <c r="K66" i="1"/>
  <c r="K18" i="1"/>
  <c r="K182" i="1"/>
  <c r="K166" i="1"/>
  <c r="K150" i="1"/>
  <c r="K134" i="1"/>
  <c r="K118" i="1"/>
  <c r="K102" i="1"/>
  <c r="K70" i="1"/>
  <c r="K22" i="1"/>
  <c r="K162" i="1"/>
  <c r="K130" i="1"/>
  <c r="K186" i="1"/>
  <c r="K170" i="1"/>
  <c r="K154" i="1"/>
  <c r="K138" i="1"/>
  <c r="K122" i="1"/>
  <c r="K106" i="1"/>
  <c r="K42" i="1"/>
  <c r="K26" i="1"/>
  <c r="K187" i="1"/>
  <c r="K179" i="1"/>
  <c r="K171" i="1"/>
  <c r="K163" i="1"/>
  <c r="K155" i="1"/>
  <c r="K147" i="1"/>
  <c r="K139" i="1"/>
  <c r="K131" i="1"/>
  <c r="K123" i="1"/>
  <c r="K115" i="1"/>
  <c r="K107" i="1"/>
  <c r="K75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73" i="1"/>
  <c r="K69" i="1"/>
  <c r="K41" i="1"/>
  <c r="K37" i="1"/>
  <c r="K29" i="1"/>
  <c r="K25" i="1"/>
  <c r="K21" i="1"/>
  <c r="K183" i="1"/>
  <c r="K175" i="1"/>
  <c r="K167" i="1"/>
  <c r="K159" i="1"/>
  <c r="K151" i="1"/>
  <c r="K143" i="1"/>
  <c r="K135" i="1"/>
  <c r="K127" i="1"/>
  <c r="K119" i="1"/>
  <c r="K111" i="1"/>
  <c r="K103" i="1"/>
  <c r="K67" i="1"/>
  <c r="K39" i="1"/>
  <c r="K35" i="1"/>
  <c r="K31" i="1"/>
  <c r="K27" i="1"/>
  <c r="K188" i="1"/>
  <c r="K184" i="1"/>
  <c r="K180" i="1"/>
  <c r="K176" i="1"/>
  <c r="K172" i="1"/>
  <c r="K168" i="1"/>
  <c r="K164" i="1"/>
  <c r="K160" i="1"/>
  <c r="K156" i="1"/>
  <c r="K152" i="1"/>
  <c r="K148" i="1"/>
  <c r="K144" i="1"/>
  <c r="K140" i="1"/>
  <c r="K136" i="1"/>
  <c r="K132" i="1"/>
  <c r="K128" i="1"/>
  <c r="K124" i="1"/>
  <c r="K120" i="1"/>
  <c r="K116" i="1"/>
  <c r="K112" i="1"/>
  <c r="K108" i="1"/>
  <c r="K104" i="1"/>
  <c r="K76" i="1"/>
  <c r="K72" i="1"/>
  <c r="K64" i="1"/>
  <c r="K48" i="1"/>
  <c r="K44" i="1"/>
  <c r="K40" i="1"/>
  <c r="K36" i="1"/>
  <c r="K32" i="1"/>
  <c r="K28" i="1"/>
  <c r="K24" i="1"/>
  <c r="K20" i="1"/>
  <c r="K16" i="1"/>
  <c r="B14" i="7"/>
  <c r="B26" i="7"/>
  <c r="B25" i="7"/>
  <c r="K54" i="1"/>
  <c r="K90" i="1"/>
  <c r="K99" i="1"/>
  <c r="K63" i="1"/>
  <c r="K97" i="1"/>
  <c r="K81" i="1"/>
  <c r="K65" i="1"/>
  <c r="K49" i="1"/>
  <c r="K33" i="1"/>
  <c r="K17" i="1"/>
  <c r="K95" i="1"/>
  <c r="K47" i="1"/>
  <c r="K15" i="1"/>
  <c r="K96" i="1"/>
  <c r="K80" i="1"/>
  <c r="K101" i="1"/>
  <c r="K53" i="1"/>
  <c r="K51" i="1"/>
  <c r="K68" i="1"/>
  <c r="B13" i="7"/>
  <c r="B17" i="7"/>
  <c r="K74" i="1"/>
  <c r="K91" i="1"/>
  <c r="K61" i="1"/>
  <c r="K43" i="1"/>
  <c r="K60" i="1"/>
  <c r="K82" i="1"/>
  <c r="K85" i="1"/>
  <c r="K71" i="1"/>
  <c r="K19" i="1"/>
  <c r="K100" i="1"/>
  <c r="K84" i="1"/>
  <c r="K52" i="1"/>
  <c r="K14" i="1"/>
  <c r="K78" i="1"/>
  <c r="K38" i="1"/>
  <c r="K77" i="1"/>
  <c r="K87" i="1"/>
  <c r="K59" i="1"/>
  <c r="K92" i="1"/>
  <c r="K94" i="1"/>
  <c r="K34" i="1"/>
  <c r="K86" i="1"/>
  <c r="K58" i="1"/>
  <c r="K83" i="1"/>
  <c r="K89" i="1"/>
  <c r="K57" i="1"/>
  <c r="K79" i="1"/>
  <c r="K55" i="1"/>
  <c r="K23" i="1"/>
  <c r="K88" i="1"/>
  <c r="K56" i="1"/>
  <c r="K50" i="1"/>
  <c r="K98" i="1"/>
  <c r="K93" i="1"/>
  <c r="K45" i="1"/>
  <c r="B10" i="7"/>
  <c r="B18" i="7"/>
  <c r="B21" i="7"/>
  <c r="B22" i="7"/>
  <c r="C12" i="8"/>
  <c r="M104" i="1"/>
  <c r="M101" i="1"/>
  <c r="M76" i="1"/>
  <c r="M134" i="1"/>
  <c r="M156" i="1"/>
  <c r="M169" i="1"/>
  <c r="M97" i="1"/>
  <c r="M176" i="1"/>
  <c r="M106" i="1"/>
  <c r="M108" i="1"/>
  <c r="M32" i="1"/>
  <c r="M132" i="1"/>
  <c r="M170" i="1"/>
  <c r="M127" i="1"/>
  <c r="M84" i="1"/>
  <c r="M150" i="1"/>
  <c r="M191" i="1"/>
  <c r="M197" i="1"/>
  <c r="M111" i="1"/>
  <c r="M195" i="1"/>
  <c r="M120" i="1"/>
  <c r="M142" i="1"/>
  <c r="M177" i="1"/>
  <c r="M181" i="1"/>
  <c r="M189" i="1"/>
  <c r="M55" i="1"/>
  <c r="M17" i="1"/>
  <c r="M98" i="1"/>
  <c r="M57" i="1"/>
  <c r="M121" i="1"/>
  <c r="M151" i="1"/>
  <c r="M69" i="1"/>
  <c r="M62" i="1"/>
  <c r="M63" i="1"/>
  <c r="M31" i="1"/>
  <c r="M33" i="1"/>
  <c r="M179" i="1"/>
  <c r="M85" i="1"/>
  <c r="M66" i="1"/>
  <c r="M114" i="1"/>
  <c r="M139" i="1"/>
  <c r="M143" i="1"/>
  <c r="M65" i="1"/>
  <c r="M153" i="1"/>
  <c r="M93" i="1"/>
  <c r="M71" i="1"/>
  <c r="M36" i="1"/>
  <c r="M24" i="1"/>
  <c r="M25" i="1"/>
  <c r="M99" i="1"/>
  <c r="M74" i="1"/>
  <c r="M130" i="1"/>
  <c r="M163" i="1"/>
  <c r="M167" i="1"/>
  <c r="M43" i="1"/>
  <c r="M105" i="1"/>
  <c r="M180" i="1"/>
  <c r="M38" i="1"/>
  <c r="M128" i="1"/>
  <c r="M149" i="1"/>
  <c r="M72" i="1"/>
  <c r="M49" i="1"/>
  <c r="M172" i="1"/>
  <c r="M183" i="1"/>
  <c r="M67" i="1"/>
  <c r="M119" i="1"/>
  <c r="M154" i="1"/>
  <c r="M19" i="1"/>
  <c r="M112" i="1"/>
  <c r="M158" i="1"/>
  <c r="M174" i="1"/>
  <c r="M94" i="1"/>
  <c r="M95" i="1"/>
  <c r="M178" i="1"/>
  <c r="M34" i="1"/>
  <c r="C25" i="7"/>
  <c r="M138" i="1"/>
  <c r="M187" i="1"/>
  <c r="M133" i="1"/>
  <c r="M122" i="1"/>
  <c r="M124" i="1"/>
  <c r="M39" i="1"/>
  <c r="M96" i="1"/>
  <c r="M41" i="1"/>
  <c r="M48" i="1"/>
  <c r="M164" i="1"/>
  <c r="M87" i="1"/>
  <c r="M116" i="1"/>
  <c r="M89" i="1"/>
  <c r="M117" i="1"/>
  <c r="M118" i="1"/>
  <c r="M60" i="1"/>
  <c r="M92" i="1"/>
  <c r="M148" i="1"/>
  <c r="M20" i="1"/>
  <c r="M155" i="1"/>
  <c r="M16" i="1"/>
  <c r="M171" i="1"/>
  <c r="M165" i="1"/>
  <c r="M193" i="1"/>
  <c r="M81" i="1"/>
  <c r="M42" i="1"/>
  <c r="M144" i="1"/>
  <c r="M161" i="1"/>
  <c r="M88" i="1"/>
  <c r="M54" i="1"/>
  <c r="M188" i="1"/>
  <c r="M201" i="1"/>
  <c r="M75" i="1"/>
  <c r="M64" i="1"/>
  <c r="M78" i="1"/>
  <c r="M73" i="1"/>
  <c r="M157" i="1"/>
  <c r="M46" i="1"/>
  <c r="M162" i="1"/>
  <c r="M173" i="1"/>
  <c r="M109" i="1"/>
  <c r="M61" i="1"/>
  <c r="M27" i="1"/>
  <c r="M29" i="1"/>
  <c r="M83" i="1"/>
  <c r="M80" i="1"/>
  <c r="M192" i="1"/>
  <c r="M47" i="1"/>
  <c r="M51" i="1"/>
  <c r="M22" i="1"/>
  <c r="M175" i="1"/>
  <c r="M103" i="1"/>
  <c r="M182" i="1"/>
  <c r="M26" i="1"/>
  <c r="M110" i="1"/>
  <c r="M135" i="1"/>
  <c r="M40" i="1"/>
  <c r="M152" i="1"/>
  <c r="M190" i="1"/>
  <c r="M21" i="1"/>
  <c r="M30" i="1"/>
  <c r="M45" i="1"/>
  <c r="M23" i="1"/>
  <c r="M102" i="1"/>
  <c r="M146" i="1"/>
  <c r="M70" i="1"/>
  <c r="M129" i="1"/>
  <c r="M166" i="1"/>
  <c r="M35" i="1"/>
  <c r="M90" i="1"/>
  <c r="M185" i="1"/>
  <c r="M56" i="1"/>
  <c r="M18" i="1"/>
  <c r="C26" i="7"/>
  <c r="M115" i="1"/>
  <c r="M199" i="1"/>
  <c r="M37" i="1"/>
  <c r="M147" i="1"/>
  <c r="M44" i="1"/>
  <c r="M168" i="1"/>
  <c r="M136" i="1"/>
  <c r="M53" i="1"/>
  <c r="M14" i="1"/>
  <c r="M125" i="1"/>
  <c r="M52" i="1"/>
  <c r="M140" i="1"/>
  <c r="M159" i="1"/>
  <c r="M184" i="1"/>
  <c r="M198" i="1"/>
  <c r="M107" i="1"/>
  <c r="M186" i="1"/>
  <c r="M68" i="1"/>
  <c r="M126" i="1"/>
  <c r="M145" i="1"/>
  <c r="M160" i="1"/>
  <c r="M194" i="1"/>
  <c r="M131" i="1"/>
  <c r="M196" i="1"/>
  <c r="M59" i="1"/>
  <c r="M82" i="1"/>
  <c r="M100" i="1"/>
  <c r="M91" i="1"/>
  <c r="M123" i="1"/>
  <c r="M50" i="1"/>
  <c r="M15" i="1"/>
  <c r="M77" i="1"/>
  <c r="M58" i="1"/>
  <c r="M113" i="1"/>
  <c r="M86" i="1"/>
  <c r="M137" i="1"/>
  <c r="M79" i="1"/>
  <c r="M200" i="1"/>
  <c r="M28" i="1"/>
  <c r="M141" i="1"/>
  <c r="J77" i="1"/>
  <c r="L77" i="1"/>
  <c r="I77" i="1"/>
  <c r="J107" i="1"/>
  <c r="L107" i="1"/>
  <c r="I107" i="1"/>
  <c r="J147" i="1"/>
  <c r="I147" i="1"/>
  <c r="L147" i="1"/>
  <c r="I70" i="1"/>
  <c r="J70" i="1"/>
  <c r="L70" i="1"/>
  <c r="L26" i="1"/>
  <c r="J26" i="1"/>
  <c r="I26" i="1"/>
  <c r="I61" i="1"/>
  <c r="J61" i="1"/>
  <c r="L61" i="1"/>
  <c r="J64" i="1"/>
  <c r="L64" i="1"/>
  <c r="I64" i="1"/>
  <c r="L171" i="1"/>
  <c r="J171" i="1"/>
  <c r="I171" i="1"/>
  <c r="I117" i="1"/>
  <c r="J117" i="1"/>
  <c r="L117" i="1"/>
  <c r="I187" i="1"/>
  <c r="J187" i="1"/>
  <c r="L187" i="1"/>
  <c r="J158" i="1"/>
  <c r="I158" i="1"/>
  <c r="L158" i="1"/>
  <c r="J49" i="1"/>
  <c r="L49" i="1"/>
  <c r="I49" i="1"/>
  <c r="J99" i="1"/>
  <c r="L99" i="1"/>
  <c r="I99" i="1"/>
  <c r="L143" i="1"/>
  <c r="J143" i="1"/>
  <c r="I143" i="1"/>
  <c r="J63" i="1"/>
  <c r="L63" i="1"/>
  <c r="I63" i="1"/>
  <c r="J55" i="1"/>
  <c r="L55" i="1"/>
  <c r="I55" i="1"/>
  <c r="L197" i="1"/>
  <c r="I197" i="1"/>
  <c r="J197" i="1"/>
  <c r="J108" i="1"/>
  <c r="L108" i="1"/>
  <c r="I108" i="1"/>
  <c r="I79" i="1"/>
  <c r="J79" i="1"/>
  <c r="L79" i="1"/>
  <c r="I58" i="1"/>
  <c r="J58" i="1"/>
  <c r="L58" i="1"/>
  <c r="J160" i="1"/>
  <c r="L160" i="1"/>
  <c r="I160" i="1"/>
  <c r="I186" i="1"/>
  <c r="L186" i="1"/>
  <c r="J186" i="1"/>
  <c r="J14" i="1"/>
  <c r="I14" i="1"/>
  <c r="L14" i="1"/>
  <c r="I115" i="1"/>
  <c r="J115" i="1"/>
  <c r="L115" i="1"/>
  <c r="L129" i="1"/>
  <c r="J129" i="1"/>
  <c r="I129" i="1"/>
  <c r="J190" i="1"/>
  <c r="I190" i="1"/>
  <c r="L190" i="1"/>
  <c r="J175" i="1"/>
  <c r="I175" i="1"/>
  <c r="L175" i="1"/>
  <c r="L162" i="1"/>
  <c r="I162" i="1"/>
  <c r="J162" i="1"/>
  <c r="J188" i="1"/>
  <c r="I188" i="1"/>
  <c r="L188" i="1"/>
  <c r="I165" i="1"/>
  <c r="J165" i="1"/>
  <c r="L165" i="1"/>
  <c r="L20" i="1"/>
  <c r="J20" i="1"/>
  <c r="I20" i="1"/>
  <c r="I87" i="1"/>
  <c r="J87" i="1"/>
  <c r="L87" i="1"/>
  <c r="J133" i="1"/>
  <c r="L133" i="1"/>
  <c r="I133" i="1"/>
  <c r="L174" i="1"/>
  <c r="I174" i="1"/>
  <c r="J174" i="1"/>
  <c r="I172" i="1"/>
  <c r="J172" i="1"/>
  <c r="L172" i="1"/>
  <c r="I43" i="1"/>
  <c r="L43" i="1"/>
  <c r="J43" i="1"/>
  <c r="I36" i="1"/>
  <c r="J36" i="1"/>
  <c r="L36" i="1"/>
  <c r="J31" i="1"/>
  <c r="I31" i="1"/>
  <c r="L31" i="1"/>
  <c r="J17" i="1"/>
  <c r="L17" i="1"/>
  <c r="I17" i="1"/>
  <c r="J28" i="1"/>
  <c r="L28" i="1"/>
  <c r="I28" i="1"/>
  <c r="J86" i="1"/>
  <c r="L86" i="1"/>
  <c r="I86" i="1"/>
  <c r="L15" i="1"/>
  <c r="I15" i="1"/>
  <c r="J15" i="1"/>
  <c r="J100" i="1"/>
  <c r="L100" i="1"/>
  <c r="I100" i="1"/>
  <c r="J131" i="1"/>
  <c r="I131" i="1"/>
  <c r="L131" i="1"/>
  <c r="J126" i="1"/>
  <c r="I126" i="1"/>
  <c r="L126" i="1"/>
  <c r="I198" i="1"/>
  <c r="J198" i="1"/>
  <c r="L198" i="1"/>
  <c r="I52" i="1"/>
  <c r="J52" i="1"/>
  <c r="L52" i="1"/>
  <c r="I136" i="1"/>
  <c r="L136" i="1"/>
  <c r="J136" i="1"/>
  <c r="I37" i="1"/>
  <c r="L37" i="1"/>
  <c r="J37" i="1"/>
  <c r="J18" i="1"/>
  <c r="I18" i="1"/>
  <c r="L18" i="1"/>
  <c r="J35" i="1"/>
  <c r="I35" i="1"/>
  <c r="L35" i="1"/>
  <c r="I146" i="1"/>
  <c r="L146" i="1"/>
  <c r="J146" i="1"/>
  <c r="I30" i="1"/>
  <c r="J30" i="1"/>
  <c r="L30" i="1"/>
  <c r="L40" i="1"/>
  <c r="J40" i="1"/>
  <c r="I40" i="1"/>
  <c r="J182" i="1"/>
  <c r="L182" i="1"/>
  <c r="I182" i="1"/>
  <c r="I51" i="1"/>
  <c r="J51" i="1"/>
  <c r="L51" i="1"/>
  <c r="J83" i="1"/>
  <c r="L83" i="1"/>
  <c r="I83" i="1"/>
  <c r="I109" i="1"/>
  <c r="J109" i="1"/>
  <c r="L109" i="1"/>
  <c r="I157" i="1"/>
  <c r="J157" i="1"/>
  <c r="L157" i="1"/>
  <c r="J75" i="1"/>
  <c r="L75" i="1"/>
  <c r="I75" i="1"/>
  <c r="I88" i="1"/>
  <c r="J88" i="1"/>
  <c r="L88" i="1"/>
  <c r="I81" i="1"/>
  <c r="J81" i="1"/>
  <c r="L81" i="1"/>
  <c r="J16" i="1"/>
  <c r="L16" i="1"/>
  <c r="I16" i="1"/>
  <c r="J92" i="1"/>
  <c r="L92" i="1"/>
  <c r="I92" i="1"/>
  <c r="J89" i="1"/>
  <c r="L89" i="1"/>
  <c r="I89" i="1"/>
  <c r="J48" i="1"/>
  <c r="L48" i="1"/>
  <c r="I48" i="1"/>
  <c r="J124" i="1"/>
  <c r="L124" i="1"/>
  <c r="I124" i="1"/>
  <c r="J138" i="1"/>
  <c r="I138" i="1"/>
  <c r="L138" i="1"/>
  <c r="J95" i="1"/>
  <c r="L95" i="1"/>
  <c r="I95" i="1"/>
  <c r="I112" i="1"/>
  <c r="J112" i="1"/>
  <c r="L112" i="1"/>
  <c r="I67" i="1"/>
  <c r="J67" i="1"/>
  <c r="L67" i="1"/>
  <c r="I72" i="1"/>
  <c r="J72" i="1"/>
  <c r="L72" i="1"/>
  <c r="I180" i="1"/>
  <c r="J180" i="1"/>
  <c r="L180" i="1"/>
  <c r="L163" i="1"/>
  <c r="J163" i="1"/>
  <c r="I163" i="1"/>
  <c r="I25" i="1"/>
  <c r="L25" i="1"/>
  <c r="J25" i="1"/>
  <c r="J93" i="1"/>
  <c r="L93" i="1"/>
  <c r="I93" i="1"/>
  <c r="L139" i="1"/>
  <c r="I139" i="1"/>
  <c r="J139" i="1"/>
  <c r="J179" i="1"/>
  <c r="L179" i="1"/>
  <c r="I179" i="1"/>
  <c r="J62" i="1"/>
  <c r="L62" i="1"/>
  <c r="I62" i="1"/>
  <c r="J57" i="1"/>
  <c r="L57" i="1"/>
  <c r="I57" i="1"/>
  <c r="I189" i="1"/>
  <c r="J189" i="1"/>
  <c r="L189" i="1"/>
  <c r="J120" i="1"/>
  <c r="L120" i="1"/>
  <c r="I120" i="1"/>
  <c r="J191" i="1"/>
  <c r="L191" i="1"/>
  <c r="I191" i="1"/>
  <c r="I170" i="1"/>
  <c r="J170" i="1"/>
  <c r="L170" i="1"/>
  <c r="J106" i="1"/>
  <c r="L106" i="1"/>
  <c r="I106" i="1"/>
  <c r="I156" i="1"/>
  <c r="J156" i="1"/>
  <c r="L156" i="1"/>
  <c r="I104" i="1"/>
  <c r="L104" i="1"/>
  <c r="J104" i="1"/>
  <c r="I137" i="1"/>
  <c r="J137" i="1"/>
  <c r="L137" i="1"/>
  <c r="J196" i="1"/>
  <c r="L196" i="1"/>
  <c r="I196" i="1"/>
  <c r="I140" i="1"/>
  <c r="J140" i="1"/>
  <c r="L140" i="1"/>
  <c r="J45" i="1"/>
  <c r="L45" i="1"/>
  <c r="I45" i="1"/>
  <c r="L22" i="1"/>
  <c r="I22" i="1"/>
  <c r="J22" i="1"/>
  <c r="J46" i="1"/>
  <c r="L46" i="1"/>
  <c r="I46" i="1"/>
  <c r="I42" i="1"/>
  <c r="J42" i="1"/>
  <c r="L42" i="1"/>
  <c r="J39" i="1"/>
  <c r="I39" i="1"/>
  <c r="L39" i="1"/>
  <c r="L167" i="1"/>
  <c r="I167" i="1"/>
  <c r="J167" i="1"/>
  <c r="J101" i="1"/>
  <c r="L101" i="1"/>
  <c r="I101" i="1"/>
  <c r="L141" i="1"/>
  <c r="I141" i="1"/>
  <c r="J141" i="1"/>
  <c r="J91" i="1"/>
  <c r="L91" i="1"/>
  <c r="I91" i="1"/>
  <c r="I145" i="1"/>
  <c r="J145" i="1"/>
  <c r="L145" i="1"/>
  <c r="J53" i="1"/>
  <c r="L53" i="1"/>
  <c r="I53" i="1"/>
  <c r="I90" i="1"/>
  <c r="J90" i="1"/>
  <c r="L90" i="1"/>
  <c r="I152" i="1"/>
  <c r="L152" i="1"/>
  <c r="J152" i="1"/>
  <c r="J80" i="1"/>
  <c r="L80" i="1"/>
  <c r="I80" i="1"/>
  <c r="I54" i="1"/>
  <c r="J54" i="1"/>
  <c r="L54" i="1"/>
  <c r="J148" i="1"/>
  <c r="I148" i="1"/>
  <c r="L148" i="1"/>
  <c r="L164" i="1"/>
  <c r="I164" i="1"/>
  <c r="J164" i="1"/>
  <c r="I178" i="1"/>
  <c r="J178" i="1"/>
  <c r="L178" i="1"/>
  <c r="I119" i="1"/>
  <c r="J119" i="1"/>
  <c r="L119" i="1"/>
  <c r="I38" i="1"/>
  <c r="L38" i="1"/>
  <c r="J38" i="1"/>
  <c r="I71" i="1"/>
  <c r="J71" i="1"/>
  <c r="L71" i="1"/>
  <c r="J85" i="1"/>
  <c r="L85" i="1"/>
  <c r="I85" i="1"/>
  <c r="J121" i="1"/>
  <c r="L121" i="1"/>
  <c r="I121" i="1"/>
  <c r="J142" i="1"/>
  <c r="I142" i="1"/>
  <c r="L142" i="1"/>
  <c r="I127" i="1"/>
  <c r="L127" i="1"/>
  <c r="J127" i="1"/>
  <c r="I169" i="1"/>
  <c r="J169" i="1"/>
  <c r="L169" i="1"/>
  <c r="J123" i="1"/>
  <c r="L123" i="1"/>
  <c r="I123" i="1"/>
  <c r="I59" i="1"/>
  <c r="J59" i="1"/>
  <c r="L59" i="1"/>
  <c r="J159" i="1"/>
  <c r="L159" i="1"/>
  <c r="I159" i="1"/>
  <c r="J44" i="1"/>
  <c r="L44" i="1"/>
  <c r="I44" i="1"/>
  <c r="L185" i="1"/>
  <c r="I185" i="1"/>
  <c r="J185" i="1"/>
  <c r="J23" i="1"/>
  <c r="L23" i="1"/>
  <c r="I23" i="1"/>
  <c r="J110" i="1"/>
  <c r="L110" i="1"/>
  <c r="I110" i="1"/>
  <c r="I192" i="1"/>
  <c r="L192" i="1"/>
  <c r="J192" i="1"/>
  <c r="I27" i="1"/>
  <c r="L27" i="1"/>
  <c r="J27" i="1"/>
  <c r="I78" i="1"/>
  <c r="J78" i="1"/>
  <c r="L78" i="1"/>
  <c r="J144" i="1"/>
  <c r="I144" i="1"/>
  <c r="L144" i="1"/>
  <c r="J118" i="1"/>
  <c r="L118" i="1"/>
  <c r="I118" i="1"/>
  <c r="I96" i="1"/>
  <c r="J96" i="1"/>
  <c r="L96" i="1"/>
  <c r="I34" i="1"/>
  <c r="J34" i="1"/>
  <c r="L34" i="1"/>
  <c r="L154" i="1"/>
  <c r="J154" i="1"/>
  <c r="I154" i="1"/>
  <c r="L128" i="1"/>
  <c r="J128" i="1"/>
  <c r="I128" i="1"/>
  <c r="J74" i="1"/>
  <c r="L74" i="1"/>
  <c r="I74" i="1"/>
  <c r="I65" i="1"/>
  <c r="J65" i="1"/>
  <c r="L65" i="1"/>
  <c r="I66" i="1"/>
  <c r="J66" i="1"/>
  <c r="L66" i="1"/>
  <c r="J151" i="1"/>
  <c r="L151" i="1"/>
  <c r="I151" i="1"/>
  <c r="I177" i="1"/>
  <c r="J177" i="1"/>
  <c r="L177" i="1"/>
  <c r="J111" i="1"/>
  <c r="L111" i="1"/>
  <c r="I111" i="1"/>
  <c r="J84" i="1"/>
  <c r="L84" i="1"/>
  <c r="I84" i="1"/>
  <c r="J32" i="1"/>
  <c r="L32" i="1"/>
  <c r="I32" i="1"/>
  <c r="J97" i="1"/>
  <c r="L97" i="1"/>
  <c r="I97" i="1"/>
  <c r="J76" i="1"/>
  <c r="L76" i="1"/>
  <c r="I76" i="1"/>
  <c r="I200" i="1"/>
  <c r="L200" i="1"/>
  <c r="J200" i="1"/>
  <c r="I113" i="1"/>
  <c r="L113" i="1"/>
  <c r="J113" i="1"/>
  <c r="J50" i="1"/>
  <c r="L50" i="1"/>
  <c r="I50" i="1"/>
  <c r="J82" i="1"/>
  <c r="L82" i="1"/>
  <c r="I82" i="1"/>
  <c r="I194" i="1"/>
  <c r="L194" i="1"/>
  <c r="J194" i="1"/>
  <c r="J68" i="1"/>
  <c r="L68" i="1"/>
  <c r="I68" i="1"/>
  <c r="L184" i="1"/>
  <c r="I184" i="1"/>
  <c r="J184" i="1"/>
  <c r="J125" i="1"/>
  <c r="L125" i="1"/>
  <c r="I125" i="1"/>
  <c r="I168" i="1"/>
  <c r="J168" i="1"/>
  <c r="L168" i="1"/>
  <c r="J199" i="1"/>
  <c r="I199" i="1"/>
  <c r="L199" i="1"/>
  <c r="I56" i="1"/>
  <c r="J56" i="1"/>
  <c r="L56" i="1"/>
  <c r="I166" i="1"/>
  <c r="J166" i="1"/>
  <c r="L166" i="1"/>
  <c r="L102" i="1"/>
  <c r="I102" i="1"/>
  <c r="J102" i="1"/>
  <c r="J21" i="1"/>
  <c r="L21" i="1"/>
  <c r="I21" i="1"/>
  <c r="L135" i="1"/>
  <c r="J135" i="1"/>
  <c r="I135" i="1"/>
  <c r="J103" i="1"/>
  <c r="L103" i="1"/>
  <c r="I103" i="1"/>
  <c r="J47" i="1"/>
  <c r="L47" i="1"/>
  <c r="I47" i="1"/>
  <c r="L29" i="1"/>
  <c r="I29" i="1"/>
  <c r="J29" i="1"/>
  <c r="J173" i="1"/>
  <c r="L173" i="1"/>
  <c r="I173" i="1"/>
  <c r="I73" i="1"/>
  <c r="J73" i="1"/>
  <c r="L73" i="1"/>
  <c r="I201" i="1"/>
  <c r="J201" i="1"/>
  <c r="L201" i="1"/>
  <c r="I161" i="1"/>
  <c r="J161" i="1"/>
  <c r="L161" i="1"/>
  <c r="I193" i="1"/>
  <c r="J193" i="1"/>
  <c r="L193" i="1"/>
  <c r="J155" i="1"/>
  <c r="I155" i="1"/>
  <c r="L155" i="1"/>
  <c r="J60" i="1"/>
  <c r="L60" i="1"/>
  <c r="I60" i="1"/>
  <c r="J116" i="1"/>
  <c r="L116" i="1"/>
  <c r="I116" i="1"/>
  <c r="I41" i="1"/>
  <c r="L41" i="1"/>
  <c r="J41" i="1"/>
  <c r="I122" i="1"/>
  <c r="J122" i="1"/>
  <c r="L122" i="1"/>
  <c r="J94" i="1"/>
  <c r="L94" i="1"/>
  <c r="I94" i="1"/>
  <c r="J19" i="1"/>
  <c r="I19" i="1"/>
  <c r="L19" i="1"/>
  <c r="I183" i="1"/>
  <c r="L183" i="1"/>
  <c r="J183" i="1"/>
  <c r="J149" i="1"/>
  <c r="I149" i="1"/>
  <c r="L149" i="1"/>
  <c r="J105" i="1"/>
  <c r="L105" i="1"/>
  <c r="I105" i="1"/>
  <c r="J130" i="1"/>
  <c r="I130" i="1"/>
  <c r="L130" i="1"/>
  <c r="L24" i="1"/>
  <c r="I24" i="1"/>
  <c r="J24" i="1"/>
  <c r="J153" i="1"/>
  <c r="L153" i="1"/>
  <c r="I153" i="1"/>
  <c r="J114" i="1"/>
  <c r="L114" i="1"/>
  <c r="I114" i="1"/>
  <c r="I33" i="1"/>
  <c r="J33" i="1"/>
  <c r="L33" i="1"/>
  <c r="J69" i="1"/>
  <c r="L69" i="1"/>
  <c r="I69" i="1"/>
  <c r="I98" i="1"/>
  <c r="J98" i="1"/>
  <c r="L98" i="1"/>
  <c r="J181" i="1"/>
  <c r="I181" i="1"/>
  <c r="L181" i="1"/>
  <c r="I195" i="1"/>
  <c r="J195" i="1"/>
  <c r="L195" i="1"/>
  <c r="I150" i="1"/>
  <c r="L150" i="1"/>
  <c r="J150" i="1"/>
  <c r="J132" i="1"/>
  <c r="L132" i="1"/>
  <c r="I132" i="1"/>
  <c r="I176" i="1"/>
  <c r="J176" i="1"/>
  <c r="L176" i="1"/>
  <c r="I134" i="1"/>
  <c r="J134" i="1"/>
  <c r="L134" i="1"/>
  <c r="B9" i="7"/>
  <c r="G12" i="8"/>
</calcChain>
</file>

<file path=xl/comments1.xml><?xml version="1.0" encoding="utf-8"?>
<comments xmlns="http://schemas.openxmlformats.org/spreadsheetml/2006/main">
  <authors>
    <author>Ghana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 xml:space="preserve">Andreas de Jong:
</t>
        </r>
        <r>
          <rPr>
            <sz val="8"/>
            <color indexed="81"/>
            <rFont val="Tahoma"/>
            <family val="2"/>
          </rPr>
          <t>Fill in this sheet and then go to the 'Analysis' sheet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counts the data points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Fill in the start time in C14 in HH:MM format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Fill in the time in minutes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Fill in the water level in metres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Fill in the discharge. This column is for information only. You need to put the pumping rate into L4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Fill in the water conductivity in μS/cm</t>
        </r>
      </text>
    </comment>
    <comment ref="H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calculates the drawdown from column E and cell L5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counts the data points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counts the data points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gives the theoretical drawdown based on T values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This column calculates the %age error between measured and calculated drawdown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Andreas de Jong:
</t>
        </r>
        <r>
          <rPr>
            <sz val="8"/>
            <color indexed="81"/>
            <rFont val="Tahoma"/>
            <family val="2"/>
          </rPr>
          <t>This column names data with u&lt;0.05 as "yes"</t>
        </r>
      </text>
    </comment>
  </commentList>
</comments>
</file>

<file path=xl/comments2.xml><?xml version="1.0" encoding="utf-8"?>
<comments xmlns="http://schemas.openxmlformats.org/spreadsheetml/2006/main">
  <authors>
    <author>Ghana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Andreas de Jong:</t>
        </r>
        <r>
          <rPr>
            <sz val="8"/>
            <color indexed="81"/>
            <rFont val="Tahoma"/>
            <family val="2"/>
          </rPr>
          <t xml:space="preserve">
visit www.geosearch.co.uk
and click on Resources
for an update of this spreadsheet</t>
        </r>
      </text>
    </comment>
  </commentList>
</comments>
</file>

<file path=xl/sharedStrings.xml><?xml version="1.0" encoding="utf-8"?>
<sst xmlns="http://schemas.openxmlformats.org/spreadsheetml/2006/main" count="203" uniqueCount="124">
  <si>
    <t>Time</t>
  </si>
  <si>
    <t>#</t>
  </si>
  <si>
    <t>Drawdown</t>
  </si>
  <si>
    <t>X</t>
  </si>
  <si>
    <t>Y</t>
  </si>
  <si>
    <t>slope</t>
  </si>
  <si>
    <t>y-intercept</t>
  </si>
  <si>
    <t>Error</t>
  </si>
  <si>
    <t>Best fit line point 1</t>
  </si>
  <si>
    <t>Best fit line point 2</t>
  </si>
  <si>
    <t>(sum of squared differences)</t>
  </si>
  <si>
    <t>Manual best fit line</t>
  </si>
  <si>
    <t>Ln(X)</t>
  </si>
  <si>
    <t>Calculated</t>
  </si>
  <si>
    <t>%</t>
  </si>
  <si>
    <t>m2/day</t>
  </si>
  <si>
    <t>delta s</t>
  </si>
  <si>
    <t>m</t>
  </si>
  <si>
    <t>T =</t>
  </si>
  <si>
    <t>S =</t>
  </si>
  <si>
    <t>t0</t>
  </si>
  <si>
    <t>days</t>
  </si>
  <si>
    <t>u = 0.05, when t =</t>
  </si>
  <si>
    <t>minutes</t>
  </si>
  <si>
    <t>min drawdown</t>
  </si>
  <si>
    <t>max drawdown</t>
  </si>
  <si>
    <t>t(min) when u = 0.05</t>
  </si>
  <si>
    <t>(meters)</t>
  </si>
  <si>
    <t>Project :</t>
  </si>
  <si>
    <t>District :</t>
  </si>
  <si>
    <t>Distance to Pumping Well :</t>
  </si>
  <si>
    <t>Pumping rate :</t>
  </si>
  <si>
    <t>Community :</t>
  </si>
  <si>
    <t>Northings :</t>
  </si>
  <si>
    <t>Eastings :</t>
  </si>
  <si>
    <t>Observation Well :</t>
  </si>
  <si>
    <t>Pumping Well :</t>
  </si>
  <si>
    <t>Included</t>
  </si>
  <si>
    <t>in analysis</t>
  </si>
  <si>
    <t>Pump on :</t>
  </si>
  <si>
    <t>Pump off :</t>
  </si>
  <si>
    <t>Measured by :</t>
  </si>
  <si>
    <t>Interpreted by :</t>
  </si>
  <si>
    <t>(min)</t>
  </si>
  <si>
    <t>Transmissivity :</t>
  </si>
  <si>
    <t>Water level</t>
  </si>
  <si>
    <t>Data</t>
  </si>
  <si>
    <t>(GMT)</t>
  </si>
  <si>
    <t>Discharge</t>
  </si>
  <si>
    <t>(l/min)</t>
  </si>
  <si>
    <t>Cond.</t>
  </si>
  <si>
    <t>included</t>
  </si>
  <si>
    <t>not included</t>
  </si>
  <si>
    <t>Hidden</t>
  </si>
  <si>
    <t>(average %age error between measured and calculated drawdown)</t>
  </si>
  <si>
    <t>Error 2</t>
  </si>
  <si>
    <t>Error 1</t>
  </si>
  <si>
    <t>Static Water level :</t>
  </si>
  <si>
    <t>Mean Fitting Error :</t>
  </si>
  <si>
    <t>GPS Datum :</t>
  </si>
  <si>
    <t>Measurement Datum :</t>
  </si>
  <si>
    <r>
      <t>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/d</t>
    </r>
  </si>
  <si>
    <t>(μS/cm)</t>
  </si>
  <si>
    <t>Note:</t>
  </si>
  <si>
    <t>This worksheet has been hidden to protect it.</t>
  </si>
  <si>
    <t xml:space="preserve">Should you find any errors in it or comments on how it can be improved, </t>
  </si>
  <si>
    <t>please send me an e-mail on info@geosearch.co.uk</t>
  </si>
  <si>
    <t>Andreas de Jong</t>
  </si>
  <si>
    <t>1)</t>
  </si>
  <si>
    <t>Enter your data in the Data Worksheet.</t>
  </si>
  <si>
    <t xml:space="preserve">The distance to the pumping well, the pumping rate, </t>
  </si>
  <si>
    <t>and the static water level must be entered in the cells as indicated.</t>
  </si>
  <si>
    <t>Note that the units used are metres for distance, m3 for volume, and days for time.</t>
  </si>
  <si>
    <t xml:space="preserve">All the other information can be changed as required. </t>
  </si>
  <si>
    <t>For instance you could rename 'Project' to 'Client'.</t>
  </si>
  <si>
    <t>2)</t>
  </si>
  <si>
    <t>Enter the time (GMT) of the beginning of the recovery test in cell C14.</t>
  </si>
  <si>
    <t xml:space="preserve">The rest of column C is calculated automatically from and the time since </t>
  </si>
  <si>
    <t>the pumping test started (in minutes) which you need to enter in column D.</t>
  </si>
  <si>
    <t>3)</t>
  </si>
  <si>
    <t>All other data will be calculated automatically.</t>
  </si>
  <si>
    <t>4)</t>
  </si>
  <si>
    <t>If necessary, adjust the data ranges using Chart - Source Data - Series.</t>
  </si>
  <si>
    <t>5)</t>
  </si>
  <si>
    <t>Go to the Analysis sheet and adjust the red line to fit the data by dragging the anchors.</t>
  </si>
  <si>
    <t>will be adjusted automatically when you move the line.</t>
  </si>
  <si>
    <t>6)</t>
  </si>
  <si>
    <t>Go to the Print sheet and adjust the scales of the graph if required.</t>
  </si>
  <si>
    <t>Note that all the information you entered in the Data sheet</t>
  </si>
  <si>
    <t>are transferred automatically to the Print sheet.</t>
  </si>
  <si>
    <t xml:space="preserve">7) </t>
  </si>
  <si>
    <t>and that it is your responsibility to check your work</t>
  </si>
  <si>
    <t>and any conclusions that you draw from the data.</t>
  </si>
  <si>
    <t xml:space="preserve">If you suspect or discover any errors in this workbook, </t>
  </si>
  <si>
    <t>or want to suggest ideas on how it can be improved</t>
  </si>
  <si>
    <t>please contact Andreas on info@geosearch.co.uk</t>
  </si>
  <si>
    <t>To check for updates of this workbook or download</t>
  </si>
  <si>
    <t>other hydrogeological &amp; geophysical software visit:</t>
  </si>
  <si>
    <t>http://www.geosearch.co.uk/</t>
  </si>
  <si>
    <t>and click on Resources.</t>
  </si>
  <si>
    <t>Note that the discharge in Column F is for reference only.</t>
  </si>
  <si>
    <t>You need to enter an average pumping rate into cell L4.</t>
  </si>
  <si>
    <t>Check the data in the Chart sheet which shows water level and conductivity readings.</t>
  </si>
  <si>
    <t xml:space="preserve">The calculated drawdown and %age error calculated in the Data Sheet </t>
  </si>
  <si>
    <t>Note that the data points change from a circle to a square if u&gt;0.05.</t>
  </si>
  <si>
    <t xml:space="preserve">A storativity value will be calculated for observation wells that are greater than 3 metres </t>
  </si>
  <si>
    <t>from the pumping well. If your data is from a pumping well,</t>
  </si>
  <si>
    <t>use the radius of the well as the distance to the pumping well.</t>
  </si>
  <si>
    <t>Enter the water level, discharge and conductivity data in Columns E, F &amp; G respectively.</t>
  </si>
  <si>
    <t>Note that  the T &amp; S calculations are carried out in a hidden sheet called 'Calcs'.</t>
  </si>
  <si>
    <t>E  00° 00' 00.0"</t>
  </si>
  <si>
    <t>N  00° 00' 00.0"</t>
  </si>
  <si>
    <t>GPS Datum</t>
  </si>
  <si>
    <t>Contractor</t>
  </si>
  <si>
    <t>Hydrogeologist</t>
  </si>
  <si>
    <r>
      <t>Disclaimer :</t>
    </r>
    <r>
      <rPr>
        <i/>
        <sz val="10"/>
        <color indexed="18"/>
        <rFont val="Tahoma"/>
        <family val="2"/>
      </rPr>
      <t xml:space="preserve"> Note that this workbook is provided as is,</t>
    </r>
  </si>
  <si>
    <t>Instructions on how to use Cooper-Jacob XL V1.0</t>
  </si>
  <si>
    <t xml:space="preserve"> </t>
  </si>
  <si>
    <t xml:space="preserve">  </t>
  </si>
  <si>
    <t>RWSSP</t>
  </si>
  <si>
    <t>PUJEHUN</t>
  </si>
  <si>
    <t>NJALA</t>
  </si>
  <si>
    <t>23/07/2016</t>
  </si>
  <si>
    <t>0,73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</si>
</sst>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\ \ \ \ \ \ "/>
    <numFmt numFmtId="165" formatCode="0.00\ \ \ \ \ "/>
    <numFmt numFmtId="166" formatCode="0.0000"/>
    <numFmt numFmtId="167" formatCode="#,##0.0000"/>
    <numFmt numFmtId="168" formatCode="#,##0.000000"/>
    <numFmt numFmtId="169" formatCode="0.0"/>
    <numFmt numFmtId="170" formatCode="#,##0.0"/>
    <numFmt numFmtId="171" formatCode="#,##0.0&quot; m3/d&quot;"/>
    <numFmt numFmtId="172" formatCode="#,##0.0&quot; m&quot;"/>
    <numFmt numFmtId="173" formatCode="#,##0&quot; m2/d&quot;"/>
    <numFmt numFmtId="174" formatCode="#,##0.00&quot; %&quot;"/>
    <numFmt numFmtId="175" formatCode="#,##0.00&quot; m&quot;"/>
  </numFmts>
  <fonts count="19" x14ac:knownFonts="1">
    <font>
      <sz val="10"/>
      <name val="Arial"/>
    </font>
    <font>
      <sz val="12"/>
      <name val="Tms Rmn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b/>
      <vertAlign val="superscript"/>
      <sz val="10"/>
      <name val="Arial"/>
      <family val="2"/>
    </font>
    <font>
      <b/>
      <i/>
      <sz val="8"/>
      <name val="Arial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0"/>
      <color indexed="18"/>
      <name val="Tahoma"/>
      <family val="2"/>
    </font>
    <font>
      <i/>
      <sz val="10"/>
      <color indexed="18"/>
      <name val="Tahoma"/>
      <family val="2"/>
    </font>
    <font>
      <b/>
      <i/>
      <sz val="10"/>
      <color indexed="1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9"/>
      </patternFill>
    </fill>
    <fill>
      <patternFill patternType="darkGray">
        <fgColor indexed="9"/>
        <bgColor indexed="4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4" fontId="2" fillId="2" borderId="0" xfId="0" applyNumberFormat="1" applyFont="1" applyFill="1" applyAlignment="1" applyProtection="1">
      <alignment horizontal="right"/>
      <protection locked="0"/>
    </xf>
    <xf numFmtId="0" fontId="6" fillId="3" borderId="1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"/>
      <protection hidden="1"/>
    </xf>
    <xf numFmtId="2" fontId="6" fillId="3" borderId="2" xfId="1" applyNumberFormat="1" applyFont="1" applyFill="1" applyBorder="1" applyAlignment="1" applyProtection="1">
      <alignment horizontal="center"/>
      <protection hidden="1"/>
    </xf>
    <xf numFmtId="169" fontId="6" fillId="3" borderId="2" xfId="1" applyNumberFormat="1" applyFont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 vertical="top"/>
      <protection hidden="1"/>
    </xf>
    <xf numFmtId="0" fontId="6" fillId="3" borderId="4" xfId="1" applyFont="1" applyFill="1" applyBorder="1" applyAlignment="1" applyProtection="1">
      <alignment horizontal="center" vertical="top"/>
      <protection hidden="1"/>
    </xf>
    <xf numFmtId="2" fontId="6" fillId="3" borderId="4" xfId="1" applyNumberFormat="1" applyFont="1" applyFill="1" applyBorder="1" applyAlignment="1" applyProtection="1">
      <alignment horizontal="center" vertical="top"/>
      <protection hidden="1"/>
    </xf>
    <xf numFmtId="169" fontId="6" fillId="3" borderId="4" xfId="1" applyNumberFormat="1" applyFont="1" applyFill="1" applyBorder="1" applyAlignment="1" applyProtection="1">
      <alignment horizontal="center" vertical="top"/>
      <protection hidden="1"/>
    </xf>
    <xf numFmtId="0" fontId="4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173" fontId="2" fillId="2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0" fillId="2" borderId="0" xfId="0" applyFill="1" applyProtection="1"/>
    <xf numFmtId="3" fontId="2" fillId="2" borderId="0" xfId="0" applyNumberFormat="1" applyFont="1" applyFill="1" applyAlignment="1" applyProtection="1">
      <alignment horizontal="center"/>
      <protection locked="0"/>
    </xf>
    <xf numFmtId="3" fontId="6" fillId="3" borderId="2" xfId="1" applyNumberFormat="1" applyFont="1" applyFill="1" applyBorder="1" applyAlignment="1" applyProtection="1">
      <alignment horizontal="center"/>
      <protection hidden="1"/>
    </xf>
    <xf numFmtId="3" fontId="6" fillId="3" borderId="4" xfId="1" applyNumberFormat="1" applyFont="1" applyFill="1" applyBorder="1" applyAlignment="1" applyProtection="1">
      <alignment horizontal="center" vertical="top"/>
      <protection hidden="1"/>
    </xf>
    <xf numFmtId="20" fontId="6" fillId="3" borderId="1" xfId="1" applyNumberFormat="1" applyFont="1" applyFill="1" applyBorder="1" applyAlignment="1" applyProtection="1">
      <alignment horizontal="center"/>
      <protection hidden="1"/>
    </xf>
    <xf numFmtId="20" fontId="6" fillId="3" borderId="3" xfId="1" applyNumberFormat="1" applyFont="1" applyFill="1" applyBorder="1" applyAlignment="1" applyProtection="1">
      <alignment horizontal="center" vertical="top"/>
      <protection hidden="1"/>
    </xf>
    <xf numFmtId="0" fontId="11" fillId="4" borderId="2" xfId="1" applyFont="1" applyFill="1" applyBorder="1" applyAlignment="1" applyProtection="1">
      <alignment horizontal="center"/>
      <protection hidden="1"/>
    </xf>
    <xf numFmtId="0" fontId="11" fillId="4" borderId="4" xfId="1" applyFont="1" applyFill="1" applyBorder="1" applyAlignment="1" applyProtection="1">
      <alignment horizontal="center" vertical="top"/>
      <protection hidden="1"/>
    </xf>
    <xf numFmtId="1" fontId="5" fillId="2" borderId="5" xfId="1" applyNumberFormat="1" applyFont="1" applyFill="1" applyBorder="1" applyAlignment="1" applyProtection="1">
      <alignment horizontal="center" vertical="center"/>
      <protection hidden="1"/>
    </xf>
    <xf numFmtId="170" fontId="5" fillId="2" borderId="5" xfId="1" applyNumberFormat="1" applyFont="1" applyFill="1" applyBorder="1" applyAlignment="1" applyProtection="1">
      <alignment horizontal="center" vertical="center"/>
      <protection locked="0"/>
    </xf>
    <xf numFmtId="3" fontId="5" fillId="2" borderId="5" xfId="1" applyNumberFormat="1" applyFont="1" applyFill="1" applyBorder="1" applyAlignment="1" applyProtection="1">
      <alignment horizontal="center" vertical="center"/>
      <protection locked="0"/>
    </xf>
    <xf numFmtId="165" fontId="5" fillId="4" borderId="5" xfId="1" applyNumberFormat="1" applyFont="1" applyFill="1" applyBorder="1" applyAlignment="1" applyProtection="1">
      <alignment horizontal="center" vertical="center"/>
      <protection hidden="1"/>
    </xf>
    <xf numFmtId="2" fontId="5" fillId="2" borderId="5" xfId="1" applyNumberFormat="1" applyFont="1" applyFill="1" applyBorder="1" applyAlignment="1" applyProtection="1">
      <alignment horizontal="center" vertical="center"/>
      <protection hidden="1"/>
    </xf>
    <xf numFmtId="169" fontId="5" fillId="2" borderId="5" xfId="1" applyNumberFormat="1" applyFont="1" applyFill="1" applyBorder="1" applyAlignment="1" applyProtection="1">
      <alignment horizontal="center" vertical="center"/>
      <protection hidden="1"/>
    </xf>
    <xf numFmtId="20" fontId="5" fillId="2" borderId="5" xfId="1" applyNumberFormat="1" applyFont="1" applyFill="1" applyBorder="1" applyAlignment="1" applyProtection="1">
      <alignment horizontal="center" vertical="center"/>
      <protection hidden="1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" fontId="5" fillId="4" borderId="5" xfId="1" applyNumberFormat="1" applyFont="1" applyFill="1" applyBorder="1" applyAlignment="1" applyProtection="1">
      <alignment horizontal="center" vertical="center"/>
      <protection hidden="1"/>
    </xf>
    <xf numFmtId="20" fontId="5" fillId="4" borderId="5" xfId="1" applyNumberFormat="1" applyFont="1" applyFill="1" applyBorder="1" applyAlignment="1" applyProtection="1">
      <alignment horizontal="center" vertical="center"/>
      <protection hidden="1"/>
    </xf>
    <xf numFmtId="170" fontId="5" fillId="4" borderId="5" xfId="1" applyNumberFormat="1" applyFont="1" applyFill="1" applyBorder="1" applyAlignment="1" applyProtection="1">
      <alignment horizontal="center" vertical="center"/>
      <protection locked="0"/>
    </xf>
    <xf numFmtId="4" fontId="5" fillId="4" borderId="5" xfId="1" applyNumberFormat="1" applyFont="1" applyFill="1" applyBorder="1" applyAlignment="1" applyProtection="1">
      <alignment horizontal="center" vertical="center"/>
      <protection locked="0"/>
    </xf>
    <xf numFmtId="3" fontId="5" fillId="4" borderId="5" xfId="1" applyNumberFormat="1" applyFont="1" applyFill="1" applyBorder="1" applyAlignment="1" applyProtection="1">
      <alignment horizontal="center" vertical="center"/>
      <protection locked="0"/>
    </xf>
    <xf numFmtId="2" fontId="5" fillId="4" borderId="5" xfId="1" applyNumberFormat="1" applyFont="1" applyFill="1" applyBorder="1" applyAlignment="1" applyProtection="1">
      <alignment horizontal="center" vertical="center"/>
      <protection hidden="1"/>
    </xf>
    <xf numFmtId="169" fontId="5" fillId="4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</xf>
    <xf numFmtId="11" fontId="2" fillId="2" borderId="0" xfId="0" applyNumberFormat="1" applyFont="1" applyFill="1" applyAlignment="1" applyProtection="1">
      <alignment horizontal="left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166" fontId="5" fillId="2" borderId="0" xfId="0" applyNumberFormat="1" applyFont="1" applyFill="1" applyAlignment="1" applyProtection="1">
      <alignment horizontal="left"/>
    </xf>
    <xf numFmtId="4" fontId="5" fillId="2" borderId="0" xfId="0" applyNumberFormat="1" applyFont="1" applyFill="1" applyAlignment="1" applyProtection="1">
      <alignment horizontal="right"/>
    </xf>
    <xf numFmtId="2" fontId="2" fillId="2" borderId="0" xfId="0" applyNumberFormat="1" applyFont="1" applyFill="1" applyAlignment="1" applyProtection="1">
      <alignment horizontal="right"/>
    </xf>
    <xf numFmtId="11" fontId="2" fillId="2" borderId="0" xfId="0" applyNumberFormat="1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4" fontId="0" fillId="0" borderId="0" xfId="0" applyNumberFormat="1" applyProtection="1">
      <protection locked="0"/>
    </xf>
    <xf numFmtId="4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7" fontId="0" fillId="0" borderId="0" xfId="0" applyNumberFormat="1" applyProtection="1"/>
    <xf numFmtId="4" fontId="3" fillId="0" borderId="0" xfId="0" applyNumberFormat="1" applyFont="1" applyAlignment="1" applyProtection="1">
      <alignment horizontal="left"/>
    </xf>
    <xf numFmtId="168" fontId="0" fillId="0" borderId="0" xfId="0" applyNumberFormat="1" applyProtection="1"/>
    <xf numFmtId="4" fontId="4" fillId="0" borderId="0" xfId="0" applyNumberFormat="1" applyFont="1" applyProtection="1"/>
    <xf numFmtId="11" fontId="0" fillId="0" borderId="0" xfId="0" applyNumberFormat="1" applyProtection="1"/>
    <xf numFmtId="4" fontId="2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4" fontId="13" fillId="0" borderId="0" xfId="0" applyNumberFormat="1" applyFont="1" applyProtection="1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NumberFormat="1" applyFont="1" applyFill="1" applyAlignment="1" applyProtection="1">
      <alignment horizontal="center"/>
      <protection hidden="1"/>
    </xf>
    <xf numFmtId="3" fontId="4" fillId="2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2" fontId="4" fillId="2" borderId="0" xfId="0" applyNumberFormat="1" applyFont="1" applyFill="1" applyAlignment="1" applyProtection="1">
      <alignment horizontal="center"/>
      <protection hidden="1"/>
    </xf>
    <xf numFmtId="169" fontId="4" fillId="2" borderId="0" xfId="0" applyNumberFormat="1" applyFont="1" applyFill="1" applyAlignment="1" applyProtection="1">
      <alignment horizontal="center"/>
      <protection hidden="1"/>
    </xf>
    <xf numFmtId="0" fontId="2" fillId="2" borderId="0" xfId="0" applyNumberFormat="1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top"/>
      <protection hidden="1"/>
    </xf>
    <xf numFmtId="4" fontId="5" fillId="2" borderId="5" xfId="1" applyNumberFormat="1" applyFont="1" applyFill="1" applyBorder="1" applyAlignment="1" applyProtection="1">
      <alignment horizontal="center" vertical="center"/>
      <protection hidden="1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" fontId="5" fillId="4" borderId="5" xfId="1" applyNumberFormat="1" applyFont="1" applyFill="1" applyBorder="1" applyAlignment="1" applyProtection="1">
      <alignment horizontal="center" vertical="center"/>
      <protection hidden="1"/>
    </xf>
    <xf numFmtId="20" fontId="4" fillId="2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4" borderId="0" xfId="0" applyFont="1" applyFill="1" applyProtection="1">
      <protection locked="0"/>
    </xf>
    <xf numFmtId="169" fontId="2" fillId="2" borderId="0" xfId="0" applyNumberFormat="1" applyFont="1" applyFill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3" fontId="11" fillId="4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4" fontId="2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4" fillId="2" borderId="0" xfId="0" applyFont="1" applyFill="1" applyAlignment="1" applyProtection="1">
      <protection locked="0"/>
    </xf>
    <xf numFmtId="20" fontId="5" fillId="2" borderId="5" xfId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hidden="1"/>
    </xf>
    <xf numFmtId="0" fontId="16" fillId="6" borderId="0" xfId="0" applyFont="1" applyFill="1" applyAlignment="1" applyProtection="1">
      <alignment horizontal="right"/>
      <protection hidden="1"/>
    </xf>
    <xf numFmtId="0" fontId="16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18" fillId="6" borderId="0" xfId="0" applyFont="1" applyFill="1" applyAlignment="1" applyProtection="1">
      <alignment horizontal="left"/>
      <protection hidden="1"/>
    </xf>
    <xf numFmtId="0" fontId="17" fillId="6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7" fillId="6" borderId="0" xfId="0" applyFont="1" applyFill="1" applyAlignment="1" applyProtection="1">
      <alignment horizontal="left"/>
      <protection hidden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hidden="1"/>
    </xf>
    <xf numFmtId="172" fontId="2" fillId="2" borderId="0" xfId="0" applyNumberFormat="1" applyFont="1" applyFill="1" applyAlignment="1" applyProtection="1">
      <alignment horizontal="left"/>
      <protection locked="0"/>
    </xf>
    <xf numFmtId="171" fontId="2" fillId="2" borderId="0" xfId="0" applyNumberFormat="1" applyFont="1" applyFill="1" applyAlignment="1" applyProtection="1">
      <alignment horizontal="left"/>
      <protection locked="0"/>
    </xf>
    <xf numFmtId="175" fontId="2" fillId="2" borderId="0" xfId="0" applyNumberFormat="1" applyFont="1" applyFill="1" applyAlignment="1" applyProtection="1">
      <alignment horizontal="left"/>
      <protection locked="0"/>
    </xf>
    <xf numFmtId="174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/>
    </xf>
  </cellXfs>
  <cellStyles count="2">
    <cellStyle name="Normal" xfId="0" builtinId="0"/>
    <cellStyle name="Normal_Bouwer &amp; Ric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baseline="0"/>
              <a:t>NJALA Discharge</a:t>
            </a:r>
            <a:r>
              <a:rPr lang="fr-CA"/>
              <a:t> Pumping Test 23-07-2016</a:t>
            </a:r>
          </a:p>
        </c:rich>
      </c:tx>
      <c:layout>
        <c:manualLayout>
          <c:xMode val="edge"/>
          <c:yMode val="edge"/>
          <c:x val="0.29791666666667"/>
          <c:y val="0.0202020202020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125"/>
          <c:y val="0.303030303030303"/>
          <c:w val="0.829166666666666"/>
          <c:h val="0.595959595959596"/>
        </c:manualLayout>
      </c:layout>
      <c:scatterChart>
        <c:scatterStyle val="lineMarker"/>
        <c:varyColors val="0"/>
        <c:ser>
          <c:idx val="0"/>
          <c:order val="0"/>
          <c:tx>
            <c:v>Pumping Water Level (used in interpretation)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Data!$D$14:$D$201</c:f>
              <c:numCache>
                <c:formatCode>#\ ##0.0</c:formatCode>
                <c:ptCount val="188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Data!$J$14:$J$201</c:f>
              <c:numCache>
                <c:formatCode>0.00\ \ \ \ \ </c:formatCode>
                <c:ptCount val="188"/>
                <c:pt idx="0">
                  <c:v>-1.0</c:v>
                </c:pt>
                <c:pt idx="1">
                  <c:v>-1.0</c:v>
                </c:pt>
                <c:pt idx="2">
                  <c:v>-1.0</c:v>
                </c:pt>
                <c:pt idx="3">
                  <c:v>-1.0</c:v>
                </c:pt>
                <c:pt idx="4">
                  <c:v>-1.0</c:v>
                </c:pt>
                <c:pt idx="5">
                  <c:v>-1.0</c:v>
                </c:pt>
                <c:pt idx="6">
                  <c:v>-1.0</c:v>
                </c:pt>
                <c:pt idx="7">
                  <c:v>-1.0</c:v>
                </c:pt>
                <c:pt idx="8">
                  <c:v>-1.0</c:v>
                </c:pt>
                <c:pt idx="9">
                  <c:v>-1.0</c:v>
                </c:pt>
                <c:pt idx="10">
                  <c:v>-1.0</c:v>
                </c:pt>
                <c:pt idx="11">
                  <c:v>-1.0</c:v>
                </c:pt>
                <c:pt idx="12">
                  <c:v>-1.0</c:v>
                </c:pt>
                <c:pt idx="13">
                  <c:v>-1.0</c:v>
                </c:pt>
                <c:pt idx="14">
                  <c:v>-1.0</c:v>
                </c:pt>
                <c:pt idx="15">
                  <c:v>-1.0</c:v>
                </c:pt>
                <c:pt idx="16">
                  <c:v>-1.0</c:v>
                </c:pt>
                <c:pt idx="17">
                  <c:v>-1.0</c:v>
                </c:pt>
                <c:pt idx="18">
                  <c:v>-1.0</c:v>
                </c:pt>
                <c:pt idx="19">
                  <c:v>-1.0</c:v>
                </c:pt>
                <c:pt idx="20">
                  <c:v>-1.0</c:v>
                </c:pt>
                <c:pt idx="21">
                  <c:v>-1.0</c:v>
                </c:pt>
                <c:pt idx="22">
                  <c:v>-1.0</c:v>
                </c:pt>
                <c:pt idx="23">
                  <c:v>-1.0</c:v>
                </c:pt>
                <c:pt idx="24">
                  <c:v>-1.0</c:v>
                </c:pt>
                <c:pt idx="25">
                  <c:v>-1.0</c:v>
                </c:pt>
                <c:pt idx="26">
                  <c:v>-1.0</c:v>
                </c:pt>
                <c:pt idx="27">
                  <c:v>-1.0</c:v>
                </c:pt>
                <c:pt idx="28">
                  <c:v>-1.0</c:v>
                </c:pt>
                <c:pt idx="29">
                  <c:v>-1.0</c:v>
                </c:pt>
                <c:pt idx="30">
                  <c:v>-1.0</c:v>
                </c:pt>
                <c:pt idx="31">
                  <c:v>0.39</c:v>
                </c:pt>
                <c:pt idx="32">
                  <c:v>0.4</c:v>
                </c:pt>
                <c:pt idx="33">
                  <c:v>0.4</c:v>
                </c:pt>
                <c:pt idx="34">
                  <c:v>0.41</c:v>
                </c:pt>
                <c:pt idx="35">
                  <c:v>0.41</c:v>
                </c:pt>
                <c:pt idx="36">
                  <c:v>0.42</c:v>
                </c:pt>
                <c:pt idx="37">
                  <c:v>0.43</c:v>
                </c:pt>
                <c:pt idx="38">
                  <c:v>0.44</c:v>
                </c:pt>
                <c:pt idx="39">
                  <c:v>0.46</c:v>
                </c:pt>
                <c:pt idx="40">
                  <c:v>0.47</c:v>
                </c:pt>
                <c:pt idx="41">
                  <c:v>0.47</c:v>
                </c:pt>
                <c:pt idx="42">
                  <c:v>0.48</c:v>
                </c:pt>
                <c:pt idx="43">
                  <c:v>0.49</c:v>
                </c:pt>
                <c:pt idx="44">
                  <c:v>0.5</c:v>
                </c:pt>
                <c:pt idx="45">
                  <c:v>0.51</c:v>
                </c:pt>
                <c:pt idx="46">
                  <c:v>0.51</c:v>
                </c:pt>
                <c:pt idx="47">
                  <c:v>0.52</c:v>
                </c:pt>
                <c:pt idx="48">
                  <c:v>0.34</c:v>
                </c:pt>
                <c:pt idx="49">
                  <c:v>0.31</c:v>
                </c:pt>
                <c:pt idx="50">
                  <c:v>0.22</c:v>
                </c:pt>
                <c:pt idx="51">
                  <c:v>0.19</c:v>
                </c:pt>
                <c:pt idx="52">
                  <c:v>0.03</c:v>
                </c:pt>
                <c:pt idx="53">
                  <c:v>0.01</c:v>
                </c:pt>
                <c:pt idx="54">
                  <c:v>0.01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  <c:pt idx="110">
                  <c:v>-1.0</c:v>
                </c:pt>
                <c:pt idx="111">
                  <c:v>-1.0</c:v>
                </c:pt>
                <c:pt idx="112">
                  <c:v>-1.0</c:v>
                </c:pt>
                <c:pt idx="113">
                  <c:v>-1.0</c:v>
                </c:pt>
                <c:pt idx="114">
                  <c:v>-1.0</c:v>
                </c:pt>
                <c:pt idx="115">
                  <c:v>-1.0</c:v>
                </c:pt>
                <c:pt idx="116">
                  <c:v>-1.0</c:v>
                </c:pt>
                <c:pt idx="117">
                  <c:v>-1.0</c:v>
                </c:pt>
                <c:pt idx="118">
                  <c:v>-1.0</c:v>
                </c:pt>
                <c:pt idx="119">
                  <c:v>-1.0</c:v>
                </c:pt>
                <c:pt idx="120">
                  <c:v>-1.0</c:v>
                </c:pt>
                <c:pt idx="121">
                  <c:v>-1.0</c:v>
                </c:pt>
                <c:pt idx="122">
                  <c:v>-1.0</c:v>
                </c:pt>
                <c:pt idx="123">
                  <c:v>-1.0</c:v>
                </c:pt>
                <c:pt idx="124">
                  <c:v>-1.0</c:v>
                </c:pt>
                <c:pt idx="125">
                  <c:v>-1.0</c:v>
                </c:pt>
                <c:pt idx="126">
                  <c:v>-1.0</c:v>
                </c:pt>
                <c:pt idx="127">
                  <c:v>-1.0</c:v>
                </c:pt>
                <c:pt idx="128">
                  <c:v>-1.0</c:v>
                </c:pt>
                <c:pt idx="129">
                  <c:v>-1.0</c:v>
                </c:pt>
                <c:pt idx="130">
                  <c:v>-1.0</c:v>
                </c:pt>
                <c:pt idx="131">
                  <c:v>-1.0</c:v>
                </c:pt>
                <c:pt idx="132">
                  <c:v>-1.0</c:v>
                </c:pt>
                <c:pt idx="133">
                  <c:v>-1.0</c:v>
                </c:pt>
                <c:pt idx="134">
                  <c:v>-1.0</c:v>
                </c:pt>
                <c:pt idx="135">
                  <c:v>-1.0</c:v>
                </c:pt>
                <c:pt idx="136">
                  <c:v>-1.0</c:v>
                </c:pt>
                <c:pt idx="137">
                  <c:v>-1.0</c:v>
                </c:pt>
                <c:pt idx="138">
                  <c:v>-1.0</c:v>
                </c:pt>
                <c:pt idx="139">
                  <c:v>-1.0</c:v>
                </c:pt>
                <c:pt idx="140">
                  <c:v>-1.0</c:v>
                </c:pt>
                <c:pt idx="141">
                  <c:v>-1.0</c:v>
                </c:pt>
                <c:pt idx="142">
                  <c:v>-1.0</c:v>
                </c:pt>
                <c:pt idx="143">
                  <c:v>-1.0</c:v>
                </c:pt>
                <c:pt idx="144">
                  <c:v>-1.0</c:v>
                </c:pt>
                <c:pt idx="145">
                  <c:v>-1.0</c:v>
                </c:pt>
                <c:pt idx="146">
                  <c:v>-1.0</c:v>
                </c:pt>
                <c:pt idx="147">
                  <c:v>-1.0</c:v>
                </c:pt>
                <c:pt idx="148">
                  <c:v>-1.0</c:v>
                </c:pt>
                <c:pt idx="149">
                  <c:v>-1.0</c:v>
                </c:pt>
                <c:pt idx="150">
                  <c:v>-1.0</c:v>
                </c:pt>
                <c:pt idx="151">
                  <c:v>-1.0</c:v>
                </c:pt>
                <c:pt idx="152">
                  <c:v>-1.0</c:v>
                </c:pt>
                <c:pt idx="153">
                  <c:v>-1.0</c:v>
                </c:pt>
                <c:pt idx="154">
                  <c:v>-1.0</c:v>
                </c:pt>
                <c:pt idx="155">
                  <c:v>-1.0</c:v>
                </c:pt>
                <c:pt idx="156">
                  <c:v>-1.0</c:v>
                </c:pt>
                <c:pt idx="157">
                  <c:v>-1.0</c:v>
                </c:pt>
                <c:pt idx="158">
                  <c:v>-1.0</c:v>
                </c:pt>
                <c:pt idx="159">
                  <c:v>-1.0</c:v>
                </c:pt>
                <c:pt idx="160">
                  <c:v>-1.0</c:v>
                </c:pt>
                <c:pt idx="161">
                  <c:v>-1.0</c:v>
                </c:pt>
                <c:pt idx="162">
                  <c:v>-1.0</c:v>
                </c:pt>
                <c:pt idx="163">
                  <c:v>-1.0</c:v>
                </c:pt>
                <c:pt idx="164">
                  <c:v>-1.0</c:v>
                </c:pt>
                <c:pt idx="165">
                  <c:v>-1.0</c:v>
                </c:pt>
                <c:pt idx="166">
                  <c:v>-1.0</c:v>
                </c:pt>
                <c:pt idx="167">
                  <c:v>-1.0</c:v>
                </c:pt>
                <c:pt idx="168">
                  <c:v>-1.0</c:v>
                </c:pt>
                <c:pt idx="169">
                  <c:v>-1.0</c:v>
                </c:pt>
                <c:pt idx="170">
                  <c:v>-1.0</c:v>
                </c:pt>
                <c:pt idx="171">
                  <c:v>-1.0</c:v>
                </c:pt>
                <c:pt idx="172">
                  <c:v>-1.0</c:v>
                </c:pt>
                <c:pt idx="173">
                  <c:v>-1.0</c:v>
                </c:pt>
                <c:pt idx="174">
                  <c:v>-1.0</c:v>
                </c:pt>
                <c:pt idx="175">
                  <c:v>-1.0</c:v>
                </c:pt>
                <c:pt idx="176">
                  <c:v>-1.0</c:v>
                </c:pt>
                <c:pt idx="177">
                  <c:v>-1.0</c:v>
                </c:pt>
                <c:pt idx="178">
                  <c:v>-1.0</c:v>
                </c:pt>
                <c:pt idx="179">
                  <c:v>-1.0</c:v>
                </c:pt>
                <c:pt idx="180">
                  <c:v>-1.0</c:v>
                </c:pt>
                <c:pt idx="181">
                  <c:v>-1.0</c:v>
                </c:pt>
                <c:pt idx="182">
                  <c:v>-1.0</c:v>
                </c:pt>
                <c:pt idx="183">
                  <c:v>-1.0</c:v>
                </c:pt>
                <c:pt idx="184">
                  <c:v>-1.0</c:v>
                </c:pt>
                <c:pt idx="185">
                  <c:v>-1.0</c:v>
                </c:pt>
                <c:pt idx="186">
                  <c:v>-1.0</c:v>
                </c:pt>
                <c:pt idx="187">
                  <c:v>-1.0</c:v>
                </c:pt>
              </c:numCache>
            </c:numRef>
          </c:yVal>
          <c:smooth val="0"/>
        </c:ser>
        <c:ser>
          <c:idx val="4"/>
          <c:order val="1"/>
          <c:tx>
            <c:v>Pumping Water Level (not used in interpretation)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Data!$D$14:$D$123</c:f>
              <c:numCache>
                <c:formatCode>#\ ##0.0</c:formatCode>
                <c:ptCount val="110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Data!$I$14:$I$123</c:f>
              <c:numCache>
                <c:formatCode>0.00\ \ \ \ \ </c:formatCode>
                <c:ptCount val="110"/>
                <c:pt idx="0">
                  <c:v>-1.0</c:v>
                </c:pt>
                <c:pt idx="1">
                  <c:v>0.34</c:v>
                </c:pt>
                <c:pt idx="2">
                  <c:v>-1.0</c:v>
                </c:pt>
                <c:pt idx="3">
                  <c:v>0.34</c:v>
                </c:pt>
                <c:pt idx="4">
                  <c:v>-1.0</c:v>
                </c:pt>
                <c:pt idx="5">
                  <c:v>0.36</c:v>
                </c:pt>
                <c:pt idx="6">
                  <c:v>-1.0</c:v>
                </c:pt>
                <c:pt idx="7">
                  <c:v>0.36</c:v>
                </c:pt>
                <c:pt idx="8">
                  <c:v>-1.0</c:v>
                </c:pt>
                <c:pt idx="9">
                  <c:v>0.36</c:v>
                </c:pt>
                <c:pt idx="10">
                  <c:v>-1.0</c:v>
                </c:pt>
                <c:pt idx="11">
                  <c:v>0.37</c:v>
                </c:pt>
                <c:pt idx="12">
                  <c:v>-1.0</c:v>
                </c:pt>
                <c:pt idx="13">
                  <c:v>0.37</c:v>
                </c:pt>
                <c:pt idx="14">
                  <c:v>-1.0</c:v>
                </c:pt>
                <c:pt idx="15">
                  <c:v>0.37</c:v>
                </c:pt>
                <c:pt idx="16">
                  <c:v>-1.0</c:v>
                </c:pt>
                <c:pt idx="17">
                  <c:v>0.37</c:v>
                </c:pt>
                <c:pt idx="18">
                  <c:v>-1.0</c:v>
                </c:pt>
                <c:pt idx="19">
                  <c:v>0.37</c:v>
                </c:pt>
                <c:pt idx="20">
                  <c:v>0.37</c:v>
                </c:pt>
                <c:pt idx="21">
                  <c:v>0.37</c:v>
                </c:pt>
                <c:pt idx="22">
                  <c:v>0.37</c:v>
                </c:pt>
                <c:pt idx="23">
                  <c:v>0.38</c:v>
                </c:pt>
                <c:pt idx="24">
                  <c:v>0.38</c:v>
                </c:pt>
                <c:pt idx="25">
                  <c:v>0.38</c:v>
                </c:pt>
                <c:pt idx="26">
                  <c:v>0.38</c:v>
                </c:pt>
                <c:pt idx="27">
                  <c:v>0.38</c:v>
                </c:pt>
                <c:pt idx="28">
                  <c:v>0.39</c:v>
                </c:pt>
                <c:pt idx="29">
                  <c:v>0.39</c:v>
                </c:pt>
                <c:pt idx="30">
                  <c:v>0.39</c:v>
                </c:pt>
                <c:pt idx="31">
                  <c:v>-1.0</c:v>
                </c:pt>
                <c:pt idx="32">
                  <c:v>-1.0</c:v>
                </c:pt>
                <c:pt idx="33">
                  <c:v>-1.0</c:v>
                </c:pt>
                <c:pt idx="34">
                  <c:v>-1.0</c:v>
                </c:pt>
                <c:pt idx="35">
                  <c:v>-1.0</c:v>
                </c:pt>
                <c:pt idx="36">
                  <c:v>-1.0</c:v>
                </c:pt>
                <c:pt idx="37">
                  <c:v>-1.0</c:v>
                </c:pt>
                <c:pt idx="38">
                  <c:v>-1.0</c:v>
                </c:pt>
                <c:pt idx="39">
                  <c:v>-1.0</c:v>
                </c:pt>
                <c:pt idx="40">
                  <c:v>-1.0</c:v>
                </c:pt>
                <c:pt idx="41">
                  <c:v>-1.0</c:v>
                </c:pt>
                <c:pt idx="42">
                  <c:v>-1.0</c:v>
                </c:pt>
                <c:pt idx="43">
                  <c:v>-1.0</c:v>
                </c:pt>
                <c:pt idx="44">
                  <c:v>-1.0</c:v>
                </c:pt>
                <c:pt idx="45">
                  <c:v>-1.0</c:v>
                </c:pt>
                <c:pt idx="46">
                  <c:v>-1.0</c:v>
                </c:pt>
                <c:pt idx="47">
                  <c:v>-1.0</c:v>
                </c:pt>
                <c:pt idx="48">
                  <c:v>-1.0</c:v>
                </c:pt>
                <c:pt idx="49">
                  <c:v>-1.0</c:v>
                </c:pt>
                <c:pt idx="50">
                  <c:v>-1.0</c:v>
                </c:pt>
                <c:pt idx="51">
                  <c:v>-1.0</c:v>
                </c:pt>
                <c:pt idx="52">
                  <c:v>-1.0</c:v>
                </c:pt>
                <c:pt idx="53">
                  <c:v>-1.0</c:v>
                </c:pt>
                <c:pt idx="54">
                  <c:v>-1.0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714488"/>
        <c:axId val="-2144706200"/>
      </c:scatterChart>
      <c:scatterChart>
        <c:scatterStyle val="lineMarker"/>
        <c:varyColors val="0"/>
        <c:ser>
          <c:idx val="3"/>
          <c:order val="2"/>
          <c:tx>
            <c:v>Conductivity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Data!$D$14:$D$201</c:f>
              <c:numCache>
                <c:formatCode>#\ ##0.0</c:formatCode>
                <c:ptCount val="188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Data!$G$14:$G$201</c:f>
              <c:numCache>
                <c:formatCode>#,##0</c:formatCode>
                <c:ptCount val="188"/>
                <c:pt idx="35">
                  <c:v>0.0</c:v>
                </c:pt>
                <c:pt idx="39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9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699752"/>
        <c:axId val="-2144696792"/>
      </c:scatterChart>
      <c:valAx>
        <c:axId val="-2144714488"/>
        <c:scaling>
          <c:orientation val="minMax"/>
          <c:max val="400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Data!$D$12:$D$13</c:f>
              <c:strCache>
                <c:ptCount val="1"/>
                <c:pt idx="0">
                  <c:v>Time (min)</c:v>
                </c:pt>
              </c:strCache>
            </c:strRef>
          </c:tx>
          <c:layout>
            <c:manualLayout>
              <c:xMode val="edge"/>
              <c:yMode val="edge"/>
              <c:x val="0.458333333333333"/>
              <c:y val="0.21212121212121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706200"/>
        <c:crosses val="autoZero"/>
        <c:crossBetween val="midCat"/>
      </c:valAx>
      <c:valAx>
        <c:axId val="-2144706200"/>
        <c:scaling>
          <c:orientation val="maxMin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Data!$H$12:$H$13</c:f>
              <c:strCache>
                <c:ptCount val="1"/>
                <c:pt idx="0">
                  <c:v>Drawdown (meters)</c:v>
                </c:pt>
              </c:strCache>
            </c:strRef>
          </c:tx>
          <c:layout>
            <c:manualLayout>
              <c:xMode val="edge"/>
              <c:yMode val="edge"/>
              <c:x val="0.0114583333333333"/>
              <c:y val="0.4949494949494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714488"/>
        <c:crosses val="autoZero"/>
        <c:crossBetween val="midCat"/>
      </c:valAx>
      <c:valAx>
        <c:axId val="-2144699752"/>
        <c:scaling>
          <c:orientation val="minMax"/>
        </c:scaling>
        <c:delete val="1"/>
        <c:axPos val="b"/>
        <c:numFmt formatCode="#\ ##0.0" sourceLinked="1"/>
        <c:majorTickMark val="out"/>
        <c:minorTickMark val="none"/>
        <c:tickLblPos val="none"/>
        <c:crossAx val="-2144696792"/>
        <c:crosses val="autoZero"/>
        <c:crossBetween val="midCat"/>
      </c:valAx>
      <c:valAx>
        <c:axId val="-2144696792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Conductivity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fr-CA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S/cm)</a:t>
                </a:r>
              </a:p>
            </c:rich>
          </c:tx>
          <c:layout>
            <c:manualLayout>
              <c:xMode val="edge"/>
              <c:yMode val="edge"/>
              <c:x val="0.951041666666671"/>
              <c:y val="0.4831649831649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69975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75"/>
          <c:y val="0.925925925925925"/>
          <c:w val="0.680208333333334"/>
          <c:h val="0.07407407407407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1200" baseline="0"/>
              <a:t>NJALA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baseline="0"/>
              <a:t>Discharge pumping test 23-07-2016</a:t>
            </a:r>
            <a:endParaRPr lang="fr-CA"/>
          </a:p>
        </c:rich>
      </c:tx>
      <c:layout>
        <c:manualLayout>
          <c:xMode val="edge"/>
          <c:yMode val="edge"/>
          <c:x val="0.28125"/>
          <c:y val="0.0448933782267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1875"/>
          <c:y val="0.240740740740742"/>
          <c:w val="0.9"/>
          <c:h val="0.725589225589226"/>
        </c:manualLayout>
      </c:layout>
      <c:scatterChart>
        <c:scatterStyle val="lineMarker"/>
        <c:varyColors val="0"/>
        <c:ser>
          <c:idx val="0"/>
          <c:order val="0"/>
          <c:tx>
            <c:v>Water Level Included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Data!$D$14:$D$201</c:f>
              <c:numCache>
                <c:formatCode>#\ ##0.0</c:formatCode>
                <c:ptCount val="188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Data!$J$14:$J$201</c:f>
              <c:numCache>
                <c:formatCode>0.00\ \ \ \ \ </c:formatCode>
                <c:ptCount val="188"/>
                <c:pt idx="0">
                  <c:v>-1.0</c:v>
                </c:pt>
                <c:pt idx="1">
                  <c:v>-1.0</c:v>
                </c:pt>
                <c:pt idx="2">
                  <c:v>-1.0</c:v>
                </c:pt>
                <c:pt idx="3">
                  <c:v>-1.0</c:v>
                </c:pt>
                <c:pt idx="4">
                  <c:v>-1.0</c:v>
                </c:pt>
                <c:pt idx="5">
                  <c:v>-1.0</c:v>
                </c:pt>
                <c:pt idx="6">
                  <c:v>-1.0</c:v>
                </c:pt>
                <c:pt idx="7">
                  <c:v>-1.0</c:v>
                </c:pt>
                <c:pt idx="8">
                  <c:v>-1.0</c:v>
                </c:pt>
                <c:pt idx="9">
                  <c:v>-1.0</c:v>
                </c:pt>
                <c:pt idx="10">
                  <c:v>-1.0</c:v>
                </c:pt>
                <c:pt idx="11">
                  <c:v>-1.0</c:v>
                </c:pt>
                <c:pt idx="12">
                  <c:v>-1.0</c:v>
                </c:pt>
                <c:pt idx="13">
                  <c:v>-1.0</c:v>
                </c:pt>
                <c:pt idx="14">
                  <c:v>-1.0</c:v>
                </c:pt>
                <c:pt idx="15">
                  <c:v>-1.0</c:v>
                </c:pt>
                <c:pt idx="16">
                  <c:v>-1.0</c:v>
                </c:pt>
                <c:pt idx="17">
                  <c:v>-1.0</c:v>
                </c:pt>
                <c:pt idx="18">
                  <c:v>-1.0</c:v>
                </c:pt>
                <c:pt idx="19">
                  <c:v>-1.0</c:v>
                </c:pt>
                <c:pt idx="20">
                  <c:v>-1.0</c:v>
                </c:pt>
                <c:pt idx="21">
                  <c:v>-1.0</c:v>
                </c:pt>
                <c:pt idx="22">
                  <c:v>-1.0</c:v>
                </c:pt>
                <c:pt idx="23">
                  <c:v>-1.0</c:v>
                </c:pt>
                <c:pt idx="24">
                  <c:v>-1.0</c:v>
                </c:pt>
                <c:pt idx="25">
                  <c:v>-1.0</c:v>
                </c:pt>
                <c:pt idx="26">
                  <c:v>-1.0</c:v>
                </c:pt>
                <c:pt idx="27">
                  <c:v>-1.0</c:v>
                </c:pt>
                <c:pt idx="28">
                  <c:v>-1.0</c:v>
                </c:pt>
                <c:pt idx="29">
                  <c:v>-1.0</c:v>
                </c:pt>
                <c:pt idx="30">
                  <c:v>-1.0</c:v>
                </c:pt>
                <c:pt idx="31">
                  <c:v>0.39</c:v>
                </c:pt>
                <c:pt idx="32">
                  <c:v>0.4</c:v>
                </c:pt>
                <c:pt idx="33">
                  <c:v>0.4</c:v>
                </c:pt>
                <c:pt idx="34">
                  <c:v>0.41</c:v>
                </c:pt>
                <c:pt idx="35">
                  <c:v>0.41</c:v>
                </c:pt>
                <c:pt idx="36">
                  <c:v>0.42</c:v>
                </c:pt>
                <c:pt idx="37">
                  <c:v>0.43</c:v>
                </c:pt>
                <c:pt idx="38">
                  <c:v>0.44</c:v>
                </c:pt>
                <c:pt idx="39">
                  <c:v>0.46</c:v>
                </c:pt>
                <c:pt idx="40">
                  <c:v>0.47</c:v>
                </c:pt>
                <c:pt idx="41">
                  <c:v>0.47</c:v>
                </c:pt>
                <c:pt idx="42">
                  <c:v>0.48</c:v>
                </c:pt>
                <c:pt idx="43">
                  <c:v>0.49</c:v>
                </c:pt>
                <c:pt idx="44">
                  <c:v>0.5</c:v>
                </c:pt>
                <c:pt idx="45">
                  <c:v>0.51</c:v>
                </c:pt>
                <c:pt idx="46">
                  <c:v>0.51</c:v>
                </c:pt>
                <c:pt idx="47">
                  <c:v>0.52</c:v>
                </c:pt>
                <c:pt idx="48">
                  <c:v>0.34</c:v>
                </c:pt>
                <c:pt idx="49">
                  <c:v>0.31</c:v>
                </c:pt>
                <c:pt idx="50">
                  <c:v>0.22</c:v>
                </c:pt>
                <c:pt idx="51">
                  <c:v>0.19</c:v>
                </c:pt>
                <c:pt idx="52">
                  <c:v>0.03</c:v>
                </c:pt>
                <c:pt idx="53">
                  <c:v>0.01</c:v>
                </c:pt>
                <c:pt idx="54">
                  <c:v>0.01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  <c:pt idx="110">
                  <c:v>-1.0</c:v>
                </c:pt>
                <c:pt idx="111">
                  <c:v>-1.0</c:v>
                </c:pt>
                <c:pt idx="112">
                  <c:v>-1.0</c:v>
                </c:pt>
                <c:pt idx="113">
                  <c:v>-1.0</c:v>
                </c:pt>
                <c:pt idx="114">
                  <c:v>-1.0</c:v>
                </c:pt>
                <c:pt idx="115">
                  <c:v>-1.0</c:v>
                </c:pt>
                <c:pt idx="116">
                  <c:v>-1.0</c:v>
                </c:pt>
                <c:pt idx="117">
                  <c:v>-1.0</c:v>
                </c:pt>
                <c:pt idx="118">
                  <c:v>-1.0</c:v>
                </c:pt>
                <c:pt idx="119">
                  <c:v>-1.0</c:v>
                </c:pt>
                <c:pt idx="120">
                  <c:v>-1.0</c:v>
                </c:pt>
                <c:pt idx="121">
                  <c:v>-1.0</c:v>
                </c:pt>
                <c:pt idx="122">
                  <c:v>-1.0</c:v>
                </c:pt>
                <c:pt idx="123">
                  <c:v>-1.0</c:v>
                </c:pt>
                <c:pt idx="124">
                  <c:v>-1.0</c:v>
                </c:pt>
                <c:pt idx="125">
                  <c:v>-1.0</c:v>
                </c:pt>
                <c:pt idx="126">
                  <c:v>-1.0</c:v>
                </c:pt>
                <c:pt idx="127">
                  <c:v>-1.0</c:v>
                </c:pt>
                <c:pt idx="128">
                  <c:v>-1.0</c:v>
                </c:pt>
                <c:pt idx="129">
                  <c:v>-1.0</c:v>
                </c:pt>
                <c:pt idx="130">
                  <c:v>-1.0</c:v>
                </c:pt>
                <c:pt idx="131">
                  <c:v>-1.0</c:v>
                </c:pt>
                <c:pt idx="132">
                  <c:v>-1.0</c:v>
                </c:pt>
                <c:pt idx="133">
                  <c:v>-1.0</c:v>
                </c:pt>
                <c:pt idx="134">
                  <c:v>-1.0</c:v>
                </c:pt>
                <c:pt idx="135">
                  <c:v>-1.0</c:v>
                </c:pt>
                <c:pt idx="136">
                  <c:v>-1.0</c:v>
                </c:pt>
                <c:pt idx="137">
                  <c:v>-1.0</c:v>
                </c:pt>
                <c:pt idx="138">
                  <c:v>-1.0</c:v>
                </c:pt>
                <c:pt idx="139">
                  <c:v>-1.0</c:v>
                </c:pt>
                <c:pt idx="140">
                  <c:v>-1.0</c:v>
                </c:pt>
                <c:pt idx="141">
                  <c:v>-1.0</c:v>
                </c:pt>
                <c:pt idx="142">
                  <c:v>-1.0</c:v>
                </c:pt>
                <c:pt idx="143">
                  <c:v>-1.0</c:v>
                </c:pt>
                <c:pt idx="144">
                  <c:v>-1.0</c:v>
                </c:pt>
                <c:pt idx="145">
                  <c:v>-1.0</c:v>
                </c:pt>
                <c:pt idx="146">
                  <c:v>-1.0</c:v>
                </c:pt>
                <c:pt idx="147">
                  <c:v>-1.0</c:v>
                </c:pt>
                <c:pt idx="148">
                  <c:v>-1.0</c:v>
                </c:pt>
                <c:pt idx="149">
                  <c:v>-1.0</c:v>
                </c:pt>
                <c:pt idx="150">
                  <c:v>-1.0</c:v>
                </c:pt>
                <c:pt idx="151">
                  <c:v>-1.0</c:v>
                </c:pt>
                <c:pt idx="152">
                  <c:v>-1.0</c:v>
                </c:pt>
                <c:pt idx="153">
                  <c:v>-1.0</c:v>
                </c:pt>
                <c:pt idx="154">
                  <c:v>-1.0</c:v>
                </c:pt>
                <c:pt idx="155">
                  <c:v>-1.0</c:v>
                </c:pt>
                <c:pt idx="156">
                  <c:v>-1.0</c:v>
                </c:pt>
                <c:pt idx="157">
                  <c:v>-1.0</c:v>
                </c:pt>
                <c:pt idx="158">
                  <c:v>-1.0</c:v>
                </c:pt>
                <c:pt idx="159">
                  <c:v>-1.0</c:v>
                </c:pt>
                <c:pt idx="160">
                  <c:v>-1.0</c:v>
                </c:pt>
                <c:pt idx="161">
                  <c:v>-1.0</c:v>
                </c:pt>
                <c:pt idx="162">
                  <c:v>-1.0</c:v>
                </c:pt>
                <c:pt idx="163">
                  <c:v>-1.0</c:v>
                </c:pt>
                <c:pt idx="164">
                  <c:v>-1.0</c:v>
                </c:pt>
                <c:pt idx="165">
                  <c:v>-1.0</c:v>
                </c:pt>
                <c:pt idx="166">
                  <c:v>-1.0</c:v>
                </c:pt>
                <c:pt idx="167">
                  <c:v>-1.0</c:v>
                </c:pt>
                <c:pt idx="168">
                  <c:v>-1.0</c:v>
                </c:pt>
                <c:pt idx="169">
                  <c:v>-1.0</c:v>
                </c:pt>
                <c:pt idx="170">
                  <c:v>-1.0</c:v>
                </c:pt>
                <c:pt idx="171">
                  <c:v>-1.0</c:v>
                </c:pt>
                <c:pt idx="172">
                  <c:v>-1.0</c:v>
                </c:pt>
                <c:pt idx="173">
                  <c:v>-1.0</c:v>
                </c:pt>
                <c:pt idx="174">
                  <c:v>-1.0</c:v>
                </c:pt>
                <c:pt idx="175">
                  <c:v>-1.0</c:v>
                </c:pt>
                <c:pt idx="176">
                  <c:v>-1.0</c:v>
                </c:pt>
                <c:pt idx="177">
                  <c:v>-1.0</c:v>
                </c:pt>
                <c:pt idx="178">
                  <c:v>-1.0</c:v>
                </c:pt>
                <c:pt idx="179">
                  <c:v>-1.0</c:v>
                </c:pt>
                <c:pt idx="180">
                  <c:v>-1.0</c:v>
                </c:pt>
                <c:pt idx="181">
                  <c:v>-1.0</c:v>
                </c:pt>
                <c:pt idx="182">
                  <c:v>-1.0</c:v>
                </c:pt>
                <c:pt idx="183">
                  <c:v>-1.0</c:v>
                </c:pt>
                <c:pt idx="184">
                  <c:v>-1.0</c:v>
                </c:pt>
                <c:pt idx="185">
                  <c:v>-1.0</c:v>
                </c:pt>
                <c:pt idx="186">
                  <c:v>-1.0</c:v>
                </c:pt>
                <c:pt idx="187">
                  <c:v>-1.0</c:v>
                </c:pt>
              </c:numCache>
            </c:numRef>
          </c:yVal>
          <c:smooth val="0"/>
        </c:ser>
        <c:ser>
          <c:idx val="3"/>
          <c:order val="1"/>
          <c:tx>
            <c:v>Water Level Not Included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Data!$D$14:$D$123</c:f>
              <c:numCache>
                <c:formatCode>#\ ##0.0</c:formatCode>
                <c:ptCount val="110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Data!$I$14:$I$123</c:f>
              <c:numCache>
                <c:formatCode>0.00\ \ \ \ \ </c:formatCode>
                <c:ptCount val="110"/>
                <c:pt idx="0">
                  <c:v>-1.0</c:v>
                </c:pt>
                <c:pt idx="1">
                  <c:v>0.34</c:v>
                </c:pt>
                <c:pt idx="2">
                  <c:v>-1.0</c:v>
                </c:pt>
                <c:pt idx="3">
                  <c:v>0.34</c:v>
                </c:pt>
                <c:pt idx="4">
                  <c:v>-1.0</c:v>
                </c:pt>
                <c:pt idx="5">
                  <c:v>0.36</c:v>
                </c:pt>
                <c:pt idx="6">
                  <c:v>-1.0</c:v>
                </c:pt>
                <c:pt idx="7">
                  <c:v>0.36</c:v>
                </c:pt>
                <c:pt idx="8">
                  <c:v>-1.0</c:v>
                </c:pt>
                <c:pt idx="9">
                  <c:v>0.36</c:v>
                </c:pt>
                <c:pt idx="10">
                  <c:v>-1.0</c:v>
                </c:pt>
                <c:pt idx="11">
                  <c:v>0.37</c:v>
                </c:pt>
                <c:pt idx="12">
                  <c:v>-1.0</c:v>
                </c:pt>
                <c:pt idx="13">
                  <c:v>0.37</c:v>
                </c:pt>
                <c:pt idx="14">
                  <c:v>-1.0</c:v>
                </c:pt>
                <c:pt idx="15">
                  <c:v>0.37</c:v>
                </c:pt>
                <c:pt idx="16">
                  <c:v>-1.0</c:v>
                </c:pt>
                <c:pt idx="17">
                  <c:v>0.37</c:v>
                </c:pt>
                <c:pt idx="18">
                  <c:v>-1.0</c:v>
                </c:pt>
                <c:pt idx="19">
                  <c:v>0.37</c:v>
                </c:pt>
                <c:pt idx="20">
                  <c:v>0.37</c:v>
                </c:pt>
                <c:pt idx="21">
                  <c:v>0.37</c:v>
                </c:pt>
                <c:pt idx="22">
                  <c:v>0.37</c:v>
                </c:pt>
                <c:pt idx="23">
                  <c:v>0.38</c:v>
                </c:pt>
                <c:pt idx="24">
                  <c:v>0.38</c:v>
                </c:pt>
                <c:pt idx="25">
                  <c:v>0.38</c:v>
                </c:pt>
                <c:pt idx="26">
                  <c:v>0.38</c:v>
                </c:pt>
                <c:pt idx="27">
                  <c:v>0.38</c:v>
                </c:pt>
                <c:pt idx="28">
                  <c:v>0.39</c:v>
                </c:pt>
                <c:pt idx="29">
                  <c:v>0.39</c:v>
                </c:pt>
                <c:pt idx="30">
                  <c:v>0.39</c:v>
                </c:pt>
                <c:pt idx="31">
                  <c:v>-1.0</c:v>
                </c:pt>
                <c:pt idx="32">
                  <c:v>-1.0</c:v>
                </c:pt>
                <c:pt idx="33">
                  <c:v>-1.0</c:v>
                </c:pt>
                <c:pt idx="34">
                  <c:v>-1.0</c:v>
                </c:pt>
                <c:pt idx="35">
                  <c:v>-1.0</c:v>
                </c:pt>
                <c:pt idx="36">
                  <c:v>-1.0</c:v>
                </c:pt>
                <c:pt idx="37">
                  <c:v>-1.0</c:v>
                </c:pt>
                <c:pt idx="38">
                  <c:v>-1.0</c:v>
                </c:pt>
                <c:pt idx="39">
                  <c:v>-1.0</c:v>
                </c:pt>
                <c:pt idx="40">
                  <c:v>-1.0</c:v>
                </c:pt>
                <c:pt idx="41">
                  <c:v>-1.0</c:v>
                </c:pt>
                <c:pt idx="42">
                  <c:v>-1.0</c:v>
                </c:pt>
                <c:pt idx="43">
                  <c:v>-1.0</c:v>
                </c:pt>
                <c:pt idx="44">
                  <c:v>-1.0</c:v>
                </c:pt>
                <c:pt idx="45">
                  <c:v>-1.0</c:v>
                </c:pt>
                <c:pt idx="46">
                  <c:v>-1.0</c:v>
                </c:pt>
                <c:pt idx="47">
                  <c:v>-1.0</c:v>
                </c:pt>
                <c:pt idx="48">
                  <c:v>-1.0</c:v>
                </c:pt>
                <c:pt idx="49">
                  <c:v>-1.0</c:v>
                </c:pt>
                <c:pt idx="50">
                  <c:v>-1.0</c:v>
                </c:pt>
                <c:pt idx="51">
                  <c:v>-1.0</c:v>
                </c:pt>
                <c:pt idx="52">
                  <c:v>-1.0</c:v>
                </c:pt>
                <c:pt idx="53">
                  <c:v>-1.0</c:v>
                </c:pt>
                <c:pt idx="54">
                  <c:v>-1.0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648120"/>
        <c:axId val="-2144638952"/>
      </c:scatterChart>
      <c:valAx>
        <c:axId val="-2144648120"/>
        <c:scaling>
          <c:logBase val="10.0"/>
          <c:orientation val="minMax"/>
          <c:max val="1000.0"/>
          <c:min val="1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Data!$D$12:$D$13</c:f>
              <c:strCache>
                <c:ptCount val="1"/>
                <c:pt idx="0">
                  <c:v>Time (min)</c:v>
                </c:pt>
              </c:strCache>
            </c:strRef>
          </c:tx>
          <c:layout>
            <c:manualLayout>
              <c:xMode val="edge"/>
              <c:yMode val="edge"/>
              <c:x val="0.488541666666667"/>
              <c:y val="0.1599326599326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638952"/>
        <c:crosses val="autoZero"/>
        <c:crossBetween val="midCat"/>
      </c:valAx>
      <c:valAx>
        <c:axId val="-2144638952"/>
        <c:scaling>
          <c:orientation val="maxMin"/>
          <c:max val="1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Data!$H$12:$H$13</c:f>
              <c:strCache>
                <c:ptCount val="1"/>
                <c:pt idx="0">
                  <c:v>Drawdown (meters)</c:v>
                </c:pt>
              </c:strCache>
            </c:strRef>
          </c:tx>
          <c:layout>
            <c:manualLayout>
              <c:xMode val="edge"/>
              <c:yMode val="edge"/>
              <c:x val="0.0114583333333333"/>
              <c:y val="0.50673400673400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6481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Straight Line Pumping Test Analysis (Cooper &amp; Jakob, 1946)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Note that this method does not apply to data when u &gt; 0.05, to the left of the dotted line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and that Storativity cannot be calculated without observation wells</a:t>
            </a:r>
          </a:p>
        </c:rich>
      </c:tx>
      <c:layout>
        <c:manualLayout>
          <c:xMode val="edge"/>
          <c:yMode val="edge"/>
          <c:x val="0.160453808752026"/>
          <c:y val="0.04129793510324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55915721232"/>
          <c:y val="0.2138646148262"/>
          <c:w val="0.758508914100491"/>
          <c:h val="0.693216337712507"/>
        </c:manualLayout>
      </c:layout>
      <c:scatterChart>
        <c:scatterStyle val="lineMarker"/>
        <c:varyColors val="0"/>
        <c:ser>
          <c:idx val="0"/>
          <c:order val="0"/>
          <c:tx>
            <c:v>Pumping Water Level (used in interpretation)</c:v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Data!$D$14:$D$201</c:f>
              <c:numCache>
                <c:formatCode>#\ ##0.0</c:formatCode>
                <c:ptCount val="188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Data!$J$14:$J$201</c:f>
              <c:numCache>
                <c:formatCode>0.00\ \ \ \ \ </c:formatCode>
                <c:ptCount val="188"/>
                <c:pt idx="0">
                  <c:v>-1.0</c:v>
                </c:pt>
                <c:pt idx="1">
                  <c:v>-1.0</c:v>
                </c:pt>
                <c:pt idx="2">
                  <c:v>-1.0</c:v>
                </c:pt>
                <c:pt idx="3">
                  <c:v>-1.0</c:v>
                </c:pt>
                <c:pt idx="4">
                  <c:v>-1.0</c:v>
                </c:pt>
                <c:pt idx="5">
                  <c:v>-1.0</c:v>
                </c:pt>
                <c:pt idx="6">
                  <c:v>-1.0</c:v>
                </c:pt>
                <c:pt idx="7">
                  <c:v>-1.0</c:v>
                </c:pt>
                <c:pt idx="8">
                  <c:v>-1.0</c:v>
                </c:pt>
                <c:pt idx="9">
                  <c:v>-1.0</c:v>
                </c:pt>
                <c:pt idx="10">
                  <c:v>-1.0</c:v>
                </c:pt>
                <c:pt idx="11">
                  <c:v>-1.0</c:v>
                </c:pt>
                <c:pt idx="12">
                  <c:v>-1.0</c:v>
                </c:pt>
                <c:pt idx="13">
                  <c:v>-1.0</c:v>
                </c:pt>
                <c:pt idx="14">
                  <c:v>-1.0</c:v>
                </c:pt>
                <c:pt idx="15">
                  <c:v>-1.0</c:v>
                </c:pt>
                <c:pt idx="16">
                  <c:v>-1.0</c:v>
                </c:pt>
                <c:pt idx="17">
                  <c:v>-1.0</c:v>
                </c:pt>
                <c:pt idx="18">
                  <c:v>-1.0</c:v>
                </c:pt>
                <c:pt idx="19">
                  <c:v>-1.0</c:v>
                </c:pt>
                <c:pt idx="20">
                  <c:v>-1.0</c:v>
                </c:pt>
                <c:pt idx="21">
                  <c:v>-1.0</c:v>
                </c:pt>
                <c:pt idx="22">
                  <c:v>-1.0</c:v>
                </c:pt>
                <c:pt idx="23">
                  <c:v>-1.0</c:v>
                </c:pt>
                <c:pt idx="24">
                  <c:v>-1.0</c:v>
                </c:pt>
                <c:pt idx="25">
                  <c:v>-1.0</c:v>
                </c:pt>
                <c:pt idx="26">
                  <c:v>-1.0</c:v>
                </c:pt>
                <c:pt idx="27">
                  <c:v>-1.0</c:v>
                </c:pt>
                <c:pt idx="28">
                  <c:v>-1.0</c:v>
                </c:pt>
                <c:pt idx="29">
                  <c:v>-1.0</c:v>
                </c:pt>
                <c:pt idx="30">
                  <c:v>-1.0</c:v>
                </c:pt>
                <c:pt idx="31">
                  <c:v>0.39</c:v>
                </c:pt>
                <c:pt idx="32">
                  <c:v>0.4</c:v>
                </c:pt>
                <c:pt idx="33">
                  <c:v>0.4</c:v>
                </c:pt>
                <c:pt idx="34">
                  <c:v>0.41</c:v>
                </c:pt>
                <c:pt idx="35">
                  <c:v>0.41</c:v>
                </c:pt>
                <c:pt idx="36">
                  <c:v>0.42</c:v>
                </c:pt>
                <c:pt idx="37">
                  <c:v>0.43</c:v>
                </c:pt>
                <c:pt idx="38">
                  <c:v>0.44</c:v>
                </c:pt>
                <c:pt idx="39">
                  <c:v>0.46</c:v>
                </c:pt>
                <c:pt idx="40">
                  <c:v>0.47</c:v>
                </c:pt>
                <c:pt idx="41">
                  <c:v>0.47</c:v>
                </c:pt>
                <c:pt idx="42">
                  <c:v>0.48</c:v>
                </c:pt>
                <c:pt idx="43">
                  <c:v>0.49</c:v>
                </c:pt>
                <c:pt idx="44">
                  <c:v>0.5</c:v>
                </c:pt>
                <c:pt idx="45">
                  <c:v>0.51</c:v>
                </c:pt>
                <c:pt idx="46">
                  <c:v>0.51</c:v>
                </c:pt>
                <c:pt idx="47">
                  <c:v>0.52</c:v>
                </c:pt>
                <c:pt idx="48">
                  <c:v>0.34</c:v>
                </c:pt>
                <c:pt idx="49">
                  <c:v>0.31</c:v>
                </c:pt>
                <c:pt idx="50">
                  <c:v>0.22</c:v>
                </c:pt>
                <c:pt idx="51">
                  <c:v>0.19</c:v>
                </c:pt>
                <c:pt idx="52">
                  <c:v>0.03</c:v>
                </c:pt>
                <c:pt idx="53">
                  <c:v>0.01</c:v>
                </c:pt>
                <c:pt idx="54">
                  <c:v>0.01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  <c:pt idx="110">
                  <c:v>-1.0</c:v>
                </c:pt>
                <c:pt idx="111">
                  <c:v>-1.0</c:v>
                </c:pt>
                <c:pt idx="112">
                  <c:v>-1.0</c:v>
                </c:pt>
                <c:pt idx="113">
                  <c:v>-1.0</c:v>
                </c:pt>
                <c:pt idx="114">
                  <c:v>-1.0</c:v>
                </c:pt>
                <c:pt idx="115">
                  <c:v>-1.0</c:v>
                </c:pt>
                <c:pt idx="116">
                  <c:v>-1.0</c:v>
                </c:pt>
                <c:pt idx="117">
                  <c:v>-1.0</c:v>
                </c:pt>
                <c:pt idx="118">
                  <c:v>-1.0</c:v>
                </c:pt>
                <c:pt idx="119">
                  <c:v>-1.0</c:v>
                </c:pt>
                <c:pt idx="120">
                  <c:v>-1.0</c:v>
                </c:pt>
                <c:pt idx="121">
                  <c:v>-1.0</c:v>
                </c:pt>
                <c:pt idx="122">
                  <c:v>-1.0</c:v>
                </c:pt>
                <c:pt idx="123">
                  <c:v>-1.0</c:v>
                </c:pt>
                <c:pt idx="124">
                  <c:v>-1.0</c:v>
                </c:pt>
                <c:pt idx="125">
                  <c:v>-1.0</c:v>
                </c:pt>
                <c:pt idx="126">
                  <c:v>-1.0</c:v>
                </c:pt>
                <c:pt idx="127">
                  <c:v>-1.0</c:v>
                </c:pt>
                <c:pt idx="128">
                  <c:v>-1.0</c:v>
                </c:pt>
                <c:pt idx="129">
                  <c:v>-1.0</c:v>
                </c:pt>
                <c:pt idx="130">
                  <c:v>-1.0</c:v>
                </c:pt>
                <c:pt idx="131">
                  <c:v>-1.0</c:v>
                </c:pt>
                <c:pt idx="132">
                  <c:v>-1.0</c:v>
                </c:pt>
                <c:pt idx="133">
                  <c:v>-1.0</c:v>
                </c:pt>
                <c:pt idx="134">
                  <c:v>-1.0</c:v>
                </c:pt>
                <c:pt idx="135">
                  <c:v>-1.0</c:v>
                </c:pt>
                <c:pt idx="136">
                  <c:v>-1.0</c:v>
                </c:pt>
                <c:pt idx="137">
                  <c:v>-1.0</c:v>
                </c:pt>
                <c:pt idx="138">
                  <c:v>-1.0</c:v>
                </c:pt>
                <c:pt idx="139">
                  <c:v>-1.0</c:v>
                </c:pt>
                <c:pt idx="140">
                  <c:v>-1.0</c:v>
                </c:pt>
                <c:pt idx="141">
                  <c:v>-1.0</c:v>
                </c:pt>
                <c:pt idx="142">
                  <c:v>-1.0</c:v>
                </c:pt>
                <c:pt idx="143">
                  <c:v>-1.0</c:v>
                </c:pt>
                <c:pt idx="144">
                  <c:v>-1.0</c:v>
                </c:pt>
                <c:pt idx="145">
                  <c:v>-1.0</c:v>
                </c:pt>
                <c:pt idx="146">
                  <c:v>-1.0</c:v>
                </c:pt>
                <c:pt idx="147">
                  <c:v>-1.0</c:v>
                </c:pt>
                <c:pt idx="148">
                  <c:v>-1.0</c:v>
                </c:pt>
                <c:pt idx="149">
                  <c:v>-1.0</c:v>
                </c:pt>
                <c:pt idx="150">
                  <c:v>-1.0</c:v>
                </c:pt>
                <c:pt idx="151">
                  <c:v>-1.0</c:v>
                </c:pt>
                <c:pt idx="152">
                  <c:v>-1.0</c:v>
                </c:pt>
                <c:pt idx="153">
                  <c:v>-1.0</c:v>
                </c:pt>
                <c:pt idx="154">
                  <c:v>-1.0</c:v>
                </c:pt>
                <c:pt idx="155">
                  <c:v>-1.0</c:v>
                </c:pt>
                <c:pt idx="156">
                  <c:v>-1.0</c:v>
                </c:pt>
                <c:pt idx="157">
                  <c:v>-1.0</c:v>
                </c:pt>
                <c:pt idx="158">
                  <c:v>-1.0</c:v>
                </c:pt>
                <c:pt idx="159">
                  <c:v>-1.0</c:v>
                </c:pt>
                <c:pt idx="160">
                  <c:v>-1.0</c:v>
                </c:pt>
                <c:pt idx="161">
                  <c:v>-1.0</c:v>
                </c:pt>
                <c:pt idx="162">
                  <c:v>-1.0</c:v>
                </c:pt>
                <c:pt idx="163">
                  <c:v>-1.0</c:v>
                </c:pt>
                <c:pt idx="164">
                  <c:v>-1.0</c:v>
                </c:pt>
                <c:pt idx="165">
                  <c:v>-1.0</c:v>
                </c:pt>
                <c:pt idx="166">
                  <c:v>-1.0</c:v>
                </c:pt>
                <c:pt idx="167">
                  <c:v>-1.0</c:v>
                </c:pt>
                <c:pt idx="168">
                  <c:v>-1.0</c:v>
                </c:pt>
                <c:pt idx="169">
                  <c:v>-1.0</c:v>
                </c:pt>
                <c:pt idx="170">
                  <c:v>-1.0</c:v>
                </c:pt>
                <c:pt idx="171">
                  <c:v>-1.0</c:v>
                </c:pt>
                <c:pt idx="172">
                  <c:v>-1.0</c:v>
                </c:pt>
                <c:pt idx="173">
                  <c:v>-1.0</c:v>
                </c:pt>
                <c:pt idx="174">
                  <c:v>-1.0</c:v>
                </c:pt>
                <c:pt idx="175">
                  <c:v>-1.0</c:v>
                </c:pt>
                <c:pt idx="176">
                  <c:v>-1.0</c:v>
                </c:pt>
                <c:pt idx="177">
                  <c:v>-1.0</c:v>
                </c:pt>
                <c:pt idx="178">
                  <c:v>-1.0</c:v>
                </c:pt>
                <c:pt idx="179">
                  <c:v>-1.0</c:v>
                </c:pt>
                <c:pt idx="180">
                  <c:v>-1.0</c:v>
                </c:pt>
                <c:pt idx="181">
                  <c:v>-1.0</c:v>
                </c:pt>
                <c:pt idx="182">
                  <c:v>-1.0</c:v>
                </c:pt>
                <c:pt idx="183">
                  <c:v>-1.0</c:v>
                </c:pt>
                <c:pt idx="184">
                  <c:v>-1.0</c:v>
                </c:pt>
                <c:pt idx="185">
                  <c:v>-1.0</c:v>
                </c:pt>
                <c:pt idx="186">
                  <c:v>-1.0</c:v>
                </c:pt>
                <c:pt idx="187">
                  <c:v>-1.0</c:v>
                </c:pt>
              </c:numCache>
            </c:numRef>
          </c:yVal>
          <c:smooth val="0"/>
        </c:ser>
        <c:ser>
          <c:idx val="1"/>
          <c:order val="1"/>
          <c:tx>
            <c:v>Best Fit Line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Calcs!$B$4:$B$5</c:f>
              <c:numCache>
                <c:formatCode>#,##0.00</c:formatCode>
                <c:ptCount val="2"/>
                <c:pt idx="0">
                  <c:v>11.69499391019871</c:v>
                </c:pt>
                <c:pt idx="1">
                  <c:v>5984.115950603201</c:v>
                </c:pt>
              </c:numCache>
            </c:numRef>
          </c:xVal>
          <c:yVal>
            <c:numRef>
              <c:f>Calcs!$C$4:$C$5</c:f>
              <c:numCache>
                <c:formatCode>#,##0.00</c:formatCode>
                <c:ptCount val="2"/>
                <c:pt idx="0">
                  <c:v>3.83</c:v>
                </c:pt>
                <c:pt idx="1">
                  <c:v>23.05</c:v>
                </c:pt>
              </c:numCache>
            </c:numRef>
          </c:yVal>
          <c:smooth val="0"/>
        </c:ser>
        <c:ser>
          <c:idx val="4"/>
          <c:order val="2"/>
          <c:tx>
            <c:v>Pumping Water Level (not used in interpretation)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Data!$D$14:$D$123</c:f>
              <c:numCache>
                <c:formatCode>#\ ##0.0</c:formatCode>
                <c:ptCount val="110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Data!$I$14:$I$123</c:f>
              <c:numCache>
                <c:formatCode>0.00\ \ \ \ \ </c:formatCode>
                <c:ptCount val="110"/>
                <c:pt idx="0">
                  <c:v>-1.0</c:v>
                </c:pt>
                <c:pt idx="1">
                  <c:v>0.34</c:v>
                </c:pt>
                <c:pt idx="2">
                  <c:v>-1.0</c:v>
                </c:pt>
                <c:pt idx="3">
                  <c:v>0.34</c:v>
                </c:pt>
                <c:pt idx="4">
                  <c:v>-1.0</c:v>
                </c:pt>
                <c:pt idx="5">
                  <c:v>0.36</c:v>
                </c:pt>
                <c:pt idx="6">
                  <c:v>-1.0</c:v>
                </c:pt>
                <c:pt idx="7">
                  <c:v>0.36</c:v>
                </c:pt>
                <c:pt idx="8">
                  <c:v>-1.0</c:v>
                </c:pt>
                <c:pt idx="9">
                  <c:v>0.36</c:v>
                </c:pt>
                <c:pt idx="10">
                  <c:v>-1.0</c:v>
                </c:pt>
                <c:pt idx="11">
                  <c:v>0.37</c:v>
                </c:pt>
                <c:pt idx="12">
                  <c:v>-1.0</c:v>
                </c:pt>
                <c:pt idx="13">
                  <c:v>0.37</c:v>
                </c:pt>
                <c:pt idx="14">
                  <c:v>-1.0</c:v>
                </c:pt>
                <c:pt idx="15">
                  <c:v>0.37</c:v>
                </c:pt>
                <c:pt idx="16">
                  <c:v>-1.0</c:v>
                </c:pt>
                <c:pt idx="17">
                  <c:v>0.37</c:v>
                </c:pt>
                <c:pt idx="18">
                  <c:v>-1.0</c:v>
                </c:pt>
                <c:pt idx="19">
                  <c:v>0.37</c:v>
                </c:pt>
                <c:pt idx="20">
                  <c:v>0.37</c:v>
                </c:pt>
                <c:pt idx="21">
                  <c:v>0.37</c:v>
                </c:pt>
                <c:pt idx="22">
                  <c:v>0.37</c:v>
                </c:pt>
                <c:pt idx="23">
                  <c:v>0.38</c:v>
                </c:pt>
                <c:pt idx="24">
                  <c:v>0.38</c:v>
                </c:pt>
                <c:pt idx="25">
                  <c:v>0.38</c:v>
                </c:pt>
                <c:pt idx="26">
                  <c:v>0.38</c:v>
                </c:pt>
                <c:pt idx="27">
                  <c:v>0.38</c:v>
                </c:pt>
                <c:pt idx="28">
                  <c:v>0.39</c:v>
                </c:pt>
                <c:pt idx="29">
                  <c:v>0.39</c:v>
                </c:pt>
                <c:pt idx="30">
                  <c:v>0.39</c:v>
                </c:pt>
                <c:pt idx="31">
                  <c:v>-1.0</c:v>
                </c:pt>
                <c:pt idx="32">
                  <c:v>-1.0</c:v>
                </c:pt>
                <c:pt idx="33">
                  <c:v>-1.0</c:v>
                </c:pt>
                <c:pt idx="34">
                  <c:v>-1.0</c:v>
                </c:pt>
                <c:pt idx="35">
                  <c:v>-1.0</c:v>
                </c:pt>
                <c:pt idx="36">
                  <c:v>-1.0</c:v>
                </c:pt>
                <c:pt idx="37">
                  <c:v>-1.0</c:v>
                </c:pt>
                <c:pt idx="38">
                  <c:v>-1.0</c:v>
                </c:pt>
                <c:pt idx="39">
                  <c:v>-1.0</c:v>
                </c:pt>
                <c:pt idx="40">
                  <c:v>-1.0</c:v>
                </c:pt>
                <c:pt idx="41">
                  <c:v>-1.0</c:v>
                </c:pt>
                <c:pt idx="42">
                  <c:v>-1.0</c:v>
                </c:pt>
                <c:pt idx="43">
                  <c:v>-1.0</c:v>
                </c:pt>
                <c:pt idx="44">
                  <c:v>-1.0</c:v>
                </c:pt>
                <c:pt idx="45">
                  <c:v>-1.0</c:v>
                </c:pt>
                <c:pt idx="46">
                  <c:v>-1.0</c:v>
                </c:pt>
                <c:pt idx="47">
                  <c:v>-1.0</c:v>
                </c:pt>
                <c:pt idx="48">
                  <c:v>-1.0</c:v>
                </c:pt>
                <c:pt idx="49">
                  <c:v>-1.0</c:v>
                </c:pt>
                <c:pt idx="50">
                  <c:v>-1.0</c:v>
                </c:pt>
                <c:pt idx="51">
                  <c:v>-1.0</c:v>
                </c:pt>
                <c:pt idx="52">
                  <c:v>-1.0</c:v>
                </c:pt>
                <c:pt idx="53">
                  <c:v>-1.0</c:v>
                </c:pt>
                <c:pt idx="54">
                  <c:v>-1.0</c:v>
                </c:pt>
                <c:pt idx="55">
                  <c:v>-1.0</c:v>
                </c:pt>
                <c:pt idx="56">
                  <c:v>-1.0</c:v>
                </c:pt>
                <c:pt idx="57">
                  <c:v>-1.0</c:v>
                </c:pt>
                <c:pt idx="58">
                  <c:v>-1.0</c:v>
                </c:pt>
                <c:pt idx="59">
                  <c:v>-1.0</c:v>
                </c:pt>
                <c:pt idx="60">
                  <c:v>-1.0</c:v>
                </c:pt>
                <c:pt idx="61">
                  <c:v>-1.0</c:v>
                </c:pt>
                <c:pt idx="62">
                  <c:v>-1.0</c:v>
                </c:pt>
                <c:pt idx="63">
                  <c:v>-1.0</c:v>
                </c:pt>
                <c:pt idx="64">
                  <c:v>-1.0</c:v>
                </c:pt>
                <c:pt idx="65">
                  <c:v>-1.0</c:v>
                </c:pt>
                <c:pt idx="66">
                  <c:v>-1.0</c:v>
                </c:pt>
                <c:pt idx="67">
                  <c:v>-1.0</c:v>
                </c:pt>
                <c:pt idx="68">
                  <c:v>-1.0</c:v>
                </c:pt>
                <c:pt idx="69">
                  <c:v>-1.0</c:v>
                </c:pt>
                <c:pt idx="70">
                  <c:v>-1.0</c:v>
                </c:pt>
                <c:pt idx="71">
                  <c:v>-1.0</c:v>
                </c:pt>
                <c:pt idx="72">
                  <c:v>-1.0</c:v>
                </c:pt>
                <c:pt idx="73">
                  <c:v>-1.0</c:v>
                </c:pt>
                <c:pt idx="74">
                  <c:v>-1.0</c:v>
                </c:pt>
                <c:pt idx="75">
                  <c:v>-1.0</c:v>
                </c:pt>
                <c:pt idx="76">
                  <c:v>-1.0</c:v>
                </c:pt>
                <c:pt idx="77">
                  <c:v>-1.0</c:v>
                </c:pt>
                <c:pt idx="78">
                  <c:v>-1.0</c:v>
                </c:pt>
                <c:pt idx="79">
                  <c:v>-1.0</c:v>
                </c:pt>
                <c:pt idx="80">
                  <c:v>-1.0</c:v>
                </c:pt>
                <c:pt idx="81">
                  <c:v>-1.0</c:v>
                </c:pt>
                <c:pt idx="82">
                  <c:v>-1.0</c:v>
                </c:pt>
                <c:pt idx="83">
                  <c:v>-1.0</c:v>
                </c:pt>
                <c:pt idx="84">
                  <c:v>-1.0</c:v>
                </c:pt>
                <c:pt idx="85">
                  <c:v>-1.0</c:v>
                </c:pt>
                <c:pt idx="86">
                  <c:v>-1.0</c:v>
                </c:pt>
                <c:pt idx="87">
                  <c:v>-1.0</c:v>
                </c:pt>
                <c:pt idx="88">
                  <c:v>-1.0</c:v>
                </c:pt>
                <c:pt idx="89">
                  <c:v>-1.0</c:v>
                </c:pt>
                <c:pt idx="90">
                  <c:v>-1.0</c:v>
                </c:pt>
                <c:pt idx="91">
                  <c:v>-1.0</c:v>
                </c:pt>
                <c:pt idx="92">
                  <c:v>-1.0</c:v>
                </c:pt>
                <c:pt idx="93">
                  <c:v>-1.0</c:v>
                </c:pt>
                <c:pt idx="94">
                  <c:v>-1.0</c:v>
                </c:pt>
                <c:pt idx="95">
                  <c:v>-1.0</c:v>
                </c:pt>
                <c:pt idx="96">
                  <c:v>-1.0</c:v>
                </c:pt>
                <c:pt idx="97">
                  <c:v>-1.0</c:v>
                </c:pt>
                <c:pt idx="98">
                  <c:v>-1.0</c:v>
                </c:pt>
                <c:pt idx="99">
                  <c:v>-1.0</c:v>
                </c:pt>
                <c:pt idx="100">
                  <c:v>-1.0</c:v>
                </c:pt>
                <c:pt idx="101">
                  <c:v>-1.0</c:v>
                </c:pt>
                <c:pt idx="102">
                  <c:v>-1.0</c:v>
                </c:pt>
                <c:pt idx="103">
                  <c:v>-1.0</c:v>
                </c:pt>
                <c:pt idx="104">
                  <c:v>-1.0</c:v>
                </c:pt>
                <c:pt idx="105">
                  <c:v>-1.0</c:v>
                </c:pt>
                <c:pt idx="106">
                  <c:v>-1.0</c:v>
                </c:pt>
                <c:pt idx="107">
                  <c:v>-1.0</c:v>
                </c:pt>
                <c:pt idx="108">
                  <c:v>-1.0</c:v>
                </c:pt>
                <c:pt idx="109">
                  <c:v>-1.0</c:v>
                </c:pt>
              </c:numCache>
            </c:numRef>
          </c:yVal>
          <c:smooth val="0"/>
        </c:ser>
        <c:ser>
          <c:idx val="2"/>
          <c:order val="3"/>
          <c:tx>
            <c:v>u = 0.05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Calcs!$C$25:$C$26</c:f>
              <c:numCache>
                <c:formatCode>#,##0.00</c:formatCode>
                <c:ptCount val="2"/>
                <c:pt idx="0">
                  <c:v>37.95996291500077</c:v>
                </c:pt>
                <c:pt idx="1">
                  <c:v>37.95996291500077</c:v>
                </c:pt>
              </c:numCache>
            </c:numRef>
          </c:xVal>
          <c:yVal>
            <c:numRef>
              <c:f>Calcs!$B$25:$B$26</c:f>
              <c:numCache>
                <c:formatCode>#,##0.00</c:formatCode>
                <c:ptCount val="2"/>
                <c:pt idx="0">
                  <c:v>0.01</c:v>
                </c:pt>
                <c:pt idx="1">
                  <c:v>0.52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542296"/>
        <c:axId val="-2144533960"/>
      </c:scatterChart>
      <c:scatterChart>
        <c:scatterStyle val="lineMarker"/>
        <c:varyColors val="0"/>
        <c:ser>
          <c:idx val="3"/>
          <c:order val="4"/>
          <c:tx>
            <c:v>Conductivity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Data!$D$14:$D$201</c:f>
              <c:numCache>
                <c:formatCode>#\ ##0.0</c:formatCode>
                <c:ptCount val="188"/>
                <c:pt idx="0">
                  <c:v>0.5</c:v>
                </c:pt>
                <c:pt idx="1">
                  <c:v>1.0</c:v>
                </c:pt>
                <c:pt idx="2">
                  <c:v>1.5</c:v>
                </c:pt>
                <c:pt idx="3">
                  <c:v>2.0</c:v>
                </c:pt>
                <c:pt idx="4">
                  <c:v>2.5</c:v>
                </c:pt>
                <c:pt idx="5">
                  <c:v>3.0</c:v>
                </c:pt>
                <c:pt idx="6">
                  <c:v>3.5</c:v>
                </c:pt>
                <c:pt idx="7">
                  <c:v>4.0</c:v>
                </c:pt>
                <c:pt idx="8">
                  <c:v>4.5</c:v>
                </c:pt>
                <c:pt idx="9">
                  <c:v>5.0</c:v>
                </c:pt>
                <c:pt idx="10">
                  <c:v>5.5</c:v>
                </c:pt>
                <c:pt idx="11">
                  <c:v>6.0</c:v>
                </c:pt>
                <c:pt idx="12">
                  <c:v>6.5</c:v>
                </c:pt>
                <c:pt idx="13">
                  <c:v>7.0</c:v>
                </c:pt>
                <c:pt idx="14">
                  <c:v>7.5</c:v>
                </c:pt>
                <c:pt idx="15">
                  <c:v>8.0</c:v>
                </c:pt>
                <c:pt idx="16">
                  <c:v>8.5</c:v>
                </c:pt>
                <c:pt idx="17">
                  <c:v>9.0</c:v>
                </c:pt>
                <c:pt idx="18">
                  <c:v>9.5</c:v>
                </c:pt>
                <c:pt idx="19">
                  <c:v>10.0</c:v>
                </c:pt>
                <c:pt idx="20">
                  <c:v>12.0</c:v>
                </c:pt>
                <c:pt idx="21">
                  <c:v>14.0</c:v>
                </c:pt>
                <c:pt idx="22">
                  <c:v>16.0</c:v>
                </c:pt>
                <c:pt idx="23">
                  <c:v>18.0</c:v>
                </c:pt>
                <c:pt idx="24">
                  <c:v>20.0</c:v>
                </c:pt>
                <c:pt idx="25">
                  <c:v>22.0</c:v>
                </c:pt>
                <c:pt idx="26">
                  <c:v>24.0</c:v>
                </c:pt>
                <c:pt idx="27">
                  <c:v>26.0</c:v>
                </c:pt>
                <c:pt idx="28">
                  <c:v>28.0</c:v>
                </c:pt>
                <c:pt idx="29">
                  <c:v>30.0</c:v>
                </c:pt>
                <c:pt idx="30">
                  <c:v>35.0</c:v>
                </c:pt>
                <c:pt idx="31">
                  <c:v>40.0</c:v>
                </c:pt>
                <c:pt idx="32">
                  <c:v>45.0</c:v>
                </c:pt>
                <c:pt idx="33">
                  <c:v>50.0</c:v>
                </c:pt>
                <c:pt idx="34">
                  <c:v>55.0</c:v>
                </c:pt>
                <c:pt idx="35">
                  <c:v>60.0</c:v>
                </c:pt>
                <c:pt idx="36">
                  <c:v>75.0</c:v>
                </c:pt>
                <c:pt idx="37">
                  <c:v>90.0</c:v>
                </c:pt>
                <c:pt idx="38">
                  <c:v>105.0</c:v>
                </c:pt>
                <c:pt idx="39">
                  <c:v>120.0</c:v>
                </c:pt>
                <c:pt idx="40">
                  <c:v>135.0</c:v>
                </c:pt>
                <c:pt idx="41">
                  <c:v>150.0</c:v>
                </c:pt>
                <c:pt idx="42">
                  <c:v>165.0</c:v>
                </c:pt>
                <c:pt idx="43">
                  <c:v>180.0</c:v>
                </c:pt>
                <c:pt idx="44">
                  <c:v>195.0</c:v>
                </c:pt>
                <c:pt idx="45">
                  <c:v>210.0</c:v>
                </c:pt>
                <c:pt idx="46">
                  <c:v>225.0</c:v>
                </c:pt>
                <c:pt idx="47">
                  <c:v>240.0</c:v>
                </c:pt>
                <c:pt idx="48">
                  <c:v>241.0</c:v>
                </c:pt>
                <c:pt idx="49">
                  <c:v>242.0</c:v>
                </c:pt>
                <c:pt idx="50">
                  <c:v>243.0</c:v>
                </c:pt>
                <c:pt idx="51">
                  <c:v>244.0</c:v>
                </c:pt>
                <c:pt idx="52">
                  <c:v>245.0</c:v>
                </c:pt>
                <c:pt idx="53">
                  <c:v>246.0</c:v>
                </c:pt>
                <c:pt idx="54">
                  <c:v>247.0</c:v>
                </c:pt>
                <c:pt idx="55">
                  <c:v>248.0</c:v>
                </c:pt>
                <c:pt idx="56">
                  <c:v>249.0</c:v>
                </c:pt>
                <c:pt idx="57">
                  <c:v>250.0</c:v>
                </c:pt>
                <c:pt idx="58">
                  <c:v>252.0</c:v>
                </c:pt>
                <c:pt idx="59">
                  <c:v>254.0</c:v>
                </c:pt>
                <c:pt idx="60">
                  <c:v>256.0</c:v>
                </c:pt>
                <c:pt idx="61">
                  <c:v>258.0</c:v>
                </c:pt>
                <c:pt idx="62">
                  <c:v>260.0</c:v>
                </c:pt>
                <c:pt idx="63">
                  <c:v>265.0</c:v>
                </c:pt>
                <c:pt idx="64">
                  <c:v>270.0</c:v>
                </c:pt>
                <c:pt idx="65">
                  <c:v>275.0</c:v>
                </c:pt>
                <c:pt idx="66">
                  <c:v>280.0</c:v>
                </c:pt>
                <c:pt idx="67">
                  <c:v>285.0</c:v>
                </c:pt>
                <c:pt idx="68">
                  <c:v>290.0</c:v>
                </c:pt>
                <c:pt idx="69">
                  <c:v>295.0</c:v>
                </c:pt>
                <c:pt idx="70">
                  <c:v>300.0</c:v>
                </c:pt>
                <c:pt idx="71">
                  <c:v>310.0</c:v>
                </c:pt>
                <c:pt idx="72">
                  <c:v>320.0</c:v>
                </c:pt>
                <c:pt idx="73">
                  <c:v>330.0</c:v>
                </c:pt>
                <c:pt idx="74">
                  <c:v>340.0</c:v>
                </c:pt>
                <c:pt idx="75">
                  <c:v>350.0</c:v>
                </c:pt>
              </c:numCache>
            </c:numRef>
          </c:xVal>
          <c:yVal>
            <c:numRef>
              <c:f>Data!$G$14:$G$201</c:f>
              <c:numCache>
                <c:formatCode>#,##0</c:formatCode>
                <c:ptCount val="188"/>
                <c:pt idx="35">
                  <c:v>0.0</c:v>
                </c:pt>
                <c:pt idx="39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9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527704"/>
        <c:axId val="-2144524744"/>
      </c:scatterChart>
      <c:valAx>
        <c:axId val="-2144542296"/>
        <c:scaling>
          <c:logBase val="10.0"/>
          <c:orientation val="minMax"/>
          <c:min val="1.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Data!$D$12:$D$13</c:f>
              <c:strCache>
                <c:ptCount val="1"/>
                <c:pt idx="0">
                  <c:v>Time (min)</c:v>
                </c:pt>
              </c:strCache>
            </c:strRef>
          </c:tx>
          <c:layout>
            <c:manualLayout>
              <c:xMode val="edge"/>
              <c:yMode val="edge"/>
              <c:x val="0.448946515397085"/>
              <c:y val="0.1430680014555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533960"/>
        <c:crosses val="autoZero"/>
        <c:crossBetween val="midCat"/>
      </c:valAx>
      <c:valAx>
        <c:axId val="-2144533960"/>
        <c:scaling>
          <c:orientation val="maxMin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Data!$H$12:$H$13</c:f>
              <c:strCache>
                <c:ptCount val="1"/>
                <c:pt idx="0">
                  <c:v>Drawdown (meters)</c:v>
                </c:pt>
              </c:strCache>
            </c:strRef>
          </c:tx>
          <c:layout>
            <c:manualLayout>
              <c:xMode val="edge"/>
              <c:yMode val="edge"/>
              <c:x val="0.0275526742301459"/>
              <c:y val="0.4764017993326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542296"/>
        <c:crosses val="autoZero"/>
        <c:crossBetween val="midCat"/>
      </c:valAx>
      <c:valAx>
        <c:axId val="-2144527704"/>
        <c:scaling>
          <c:logBase val="10.0"/>
          <c:orientation val="minMax"/>
        </c:scaling>
        <c:delete val="1"/>
        <c:axPos val="b"/>
        <c:numFmt formatCode="#\ ##0.0" sourceLinked="1"/>
        <c:majorTickMark val="out"/>
        <c:minorTickMark val="none"/>
        <c:tickLblPos val="none"/>
        <c:crossAx val="-2144524744"/>
        <c:crosses val="autoZero"/>
        <c:crossBetween val="midCat"/>
      </c:valAx>
      <c:valAx>
        <c:axId val="-214452474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Conductivity (</a:t>
                </a:r>
                <a:r>
                  <a:rPr lang="el-GR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μ</a:t>
                </a:r>
                <a:r>
                  <a:rPr lang="fr-CA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S/cm)</a:t>
                </a:r>
              </a:p>
            </c:rich>
          </c:tx>
          <c:layout>
            <c:manualLayout>
              <c:xMode val="edge"/>
              <c:yMode val="edge"/>
              <c:x val="0.931928687196114"/>
              <c:y val="0.4719770205715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452770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356564019448946"/>
          <c:y val="0.929204933454119"/>
          <c:w val="0.957860615883307"/>
          <c:h val="0.06489691001014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5" r="0.787401575" t="0.984251969" header="0.5" footer="0.5"/>
    <c:pageSetup paperSize="9" orientation="landscape" horizontalDpi="-2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4" verticalDpi="4294967294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tabSelected="1" workbookViewId="0"/>
  </sheetViews>
  <pageMargins left="0.78740157499999996" right="0.78740157499999996" top="0.984251969" bottom="0.984251969" header="0.5" footer="0.5"/>
  <pageSetup paperSize="9" orientation="landscape" horizontalDpi="4294967294" verticalDpi="4294967294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6700" cy="56642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6700" cy="56642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0.08751</cdr:x>
      <cdr:y>0.82996</cdr:y>
    </cdr:from>
    <cdr:to>
      <cdr:x>0.08751</cdr:x>
      <cdr:y>0.82996</cdr:y>
    </cdr:to>
    <cdr:sp macro="" textlink="">
      <cdr:nvSpPr>
        <cdr:cNvPr id="3" name="Connecteur droit 2"/>
        <cdr:cNvSpPr/>
      </cdr:nvSpPr>
      <cdr:spPr bwMode="auto">
        <a:xfrm xmlns:a="http://schemas.openxmlformats.org/drawingml/2006/main">
          <a:off x="800191" y="4695796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CA"/>
        </a:p>
      </cdr:txBody>
    </cdr:sp>
  </cdr:relSizeAnchor>
  <cdr:relSizeAnchor xmlns:cdr="http://schemas.openxmlformats.org/drawingml/2006/chartDrawing">
    <cdr:from>
      <cdr:x>0.34271</cdr:x>
      <cdr:y>0.3367</cdr:y>
    </cdr:from>
    <cdr:to>
      <cdr:x>0.34271</cdr:x>
      <cdr:y>0.3367</cdr:y>
    </cdr:to>
    <cdr:sp macro="" textlink="">
      <cdr:nvSpPr>
        <cdr:cNvPr id="5" name="Connecteur droit 4"/>
        <cdr:cNvSpPr/>
      </cdr:nvSpPr>
      <cdr:spPr bwMode="auto">
        <a:xfrm xmlns:a="http://schemas.openxmlformats.org/drawingml/2006/main">
          <a:off x="3133740" y="1904998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0.55729</cdr:x>
      <cdr:y>0.38215</cdr:y>
    </cdr:from>
    <cdr:to>
      <cdr:x>0.65729</cdr:x>
      <cdr:y>0.42929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095875" y="21621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A" sz="1100"/>
        </a:p>
      </cdr:txBody>
    </cdr:sp>
  </cdr:relSizeAnchor>
  <cdr:relSizeAnchor xmlns:cdr="http://schemas.openxmlformats.org/drawingml/2006/chartDrawing">
    <cdr:from>
      <cdr:x>0.55</cdr:x>
      <cdr:y>0.36532</cdr:y>
    </cdr:from>
    <cdr:to>
      <cdr:x>0.65</cdr:x>
      <cdr:y>0.41582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5029200" y="206692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A" sz="1100"/>
        </a:p>
      </cdr:txBody>
    </cdr:sp>
  </cdr:relSizeAnchor>
  <cdr:relSizeAnchor xmlns:cdr="http://schemas.openxmlformats.org/drawingml/2006/chartDrawing">
    <cdr:from>
      <cdr:x>0.5875</cdr:x>
      <cdr:y>0.36195</cdr:y>
    </cdr:from>
    <cdr:to>
      <cdr:x>0.70521</cdr:x>
      <cdr:y>0.40236</cdr:y>
    </cdr:to>
    <cdr:sp macro="" textlink="">
      <cdr:nvSpPr>
        <cdr:cNvPr id="7" name="Rectangle 6"/>
        <cdr:cNvSpPr/>
      </cdr:nvSpPr>
      <cdr:spPr bwMode="auto">
        <a:xfrm xmlns:a="http://schemas.openxmlformats.org/drawingml/2006/main">
          <a:off x="5372100" y="2047876"/>
          <a:ext cx="10763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fr-FR"/>
            <a:t> Q=</a:t>
          </a:r>
          <a:r>
            <a:rPr lang="fr-FR" baseline="0"/>
            <a:t> 82,5 L/min</a:t>
          </a:r>
          <a:endParaRPr lang="fr-FR"/>
        </a:p>
      </cdr:txBody>
    </cdr:sp>
  </cdr:relSizeAnchor>
  <cdr:relSizeAnchor xmlns:cdr="http://schemas.openxmlformats.org/drawingml/2006/chartDrawing">
    <cdr:from>
      <cdr:x>0.18854</cdr:x>
      <cdr:y>0.36195</cdr:y>
    </cdr:from>
    <cdr:to>
      <cdr:x>0.49167</cdr:x>
      <cdr:y>0.40404</cdr:y>
    </cdr:to>
    <cdr:sp macro="" textlink="">
      <cdr:nvSpPr>
        <cdr:cNvPr id="8" name="Rectangle 7"/>
        <cdr:cNvSpPr/>
      </cdr:nvSpPr>
      <cdr:spPr bwMode="auto">
        <a:xfrm xmlns:a="http://schemas.openxmlformats.org/drawingml/2006/main">
          <a:off x="1724055" y="2047878"/>
          <a:ext cx="2771730" cy="2381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fr-FR"/>
            <a:t> Maximum allowable drawdown : 15,11</a:t>
          </a:r>
          <a:r>
            <a:rPr lang="fr-FR" baseline="0"/>
            <a:t> m</a:t>
          </a:r>
          <a:endParaRPr lang="fr-FR"/>
        </a:p>
      </cdr:txBody>
    </cdr:sp>
  </cdr:relSizeAnchor>
  <cdr:relSizeAnchor xmlns:cdr="http://schemas.openxmlformats.org/drawingml/2006/chartDrawing">
    <cdr:from>
      <cdr:x>0.2455</cdr:x>
      <cdr:y>0.82146</cdr:y>
    </cdr:from>
    <cdr:to>
      <cdr:x>0.44655</cdr:x>
      <cdr:y>0.86354</cdr:y>
    </cdr:to>
    <cdr:sp macro="" textlink="">
      <cdr:nvSpPr>
        <cdr:cNvPr id="9" name="Rectangle 8"/>
        <cdr:cNvSpPr/>
      </cdr:nvSpPr>
      <cdr:spPr bwMode="auto">
        <a:xfrm xmlns:a="http://schemas.openxmlformats.org/drawingml/2006/main">
          <a:off x="2247981" y="4652900"/>
          <a:ext cx="1840955" cy="2383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fr-FR"/>
            <a:t>  HP</a:t>
          </a:r>
          <a:r>
            <a:rPr lang="fr-FR" baseline="0"/>
            <a:t> installation depth :  12 m</a:t>
          </a:r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8</xdr:col>
      <xdr:colOff>0</xdr:colOff>
      <xdr:row>53</xdr:row>
      <xdr:rowOff>0</xdr:rowOff>
    </xdr:to>
    <xdr:graphicFrame macro="">
      <xdr:nvGraphicFramePr>
        <xdr:cNvPr id="20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J56"/>
  <sheetViews>
    <sheetView workbookViewId="0">
      <selection activeCell="J3" sqref="A1:J3"/>
    </sheetView>
  </sheetViews>
  <sheetFormatPr baseColWidth="10" defaultColWidth="8.83203125" defaultRowHeight="13" x14ac:dyDescent="0"/>
  <cols>
    <col min="1" max="1" width="5.5" style="107" customWidth="1"/>
    <col min="2" max="2" width="8.83203125" style="108"/>
    <col min="3" max="16384" width="8.83203125" style="109"/>
  </cols>
  <sheetData>
    <row r="1" spans="1:10" ht="18">
      <c r="A1" s="112"/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8">
      <c r="A2" s="112"/>
      <c r="B2" s="112" t="s">
        <v>116</v>
      </c>
      <c r="C2" s="112"/>
      <c r="D2" s="112"/>
      <c r="E2" s="112"/>
      <c r="F2" s="112"/>
      <c r="G2" s="112"/>
      <c r="H2" s="112"/>
      <c r="I2" s="112"/>
      <c r="J2" s="112"/>
    </row>
    <row r="3" spans="1:10" ht="18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s="116" customFormat="1">
      <c r="A4" s="113"/>
      <c r="B4" s="114"/>
      <c r="C4" s="115"/>
      <c r="D4" s="115"/>
      <c r="E4" s="115"/>
      <c r="F4" s="115"/>
      <c r="G4" s="115"/>
      <c r="H4" s="115"/>
      <c r="I4" s="115"/>
      <c r="J4" s="115"/>
    </row>
    <row r="5" spans="1:10" s="116" customFormat="1">
      <c r="A5" s="113"/>
      <c r="B5" s="114"/>
      <c r="C5" s="115"/>
      <c r="D5" s="115"/>
      <c r="E5" s="115"/>
      <c r="F5" s="115"/>
      <c r="G5" s="115"/>
      <c r="H5" s="115"/>
      <c r="I5" s="115"/>
      <c r="J5" s="115"/>
    </row>
    <row r="6" spans="1:10" s="116" customFormat="1">
      <c r="A6" s="113"/>
      <c r="B6" s="114"/>
      <c r="C6" s="115"/>
      <c r="D6" s="115"/>
      <c r="E6" s="115"/>
      <c r="F6" s="115"/>
      <c r="G6" s="115"/>
      <c r="H6" s="115"/>
      <c r="I6" s="115"/>
      <c r="J6" s="115"/>
    </row>
    <row r="7" spans="1:10" s="116" customFormat="1">
      <c r="A7" s="113" t="s">
        <v>68</v>
      </c>
      <c r="B7" s="114" t="s">
        <v>69</v>
      </c>
      <c r="C7" s="115"/>
      <c r="D7" s="115"/>
      <c r="E7" s="115"/>
      <c r="F7" s="115"/>
      <c r="G7" s="115"/>
      <c r="H7" s="115"/>
      <c r="I7" s="115"/>
      <c r="J7" s="115"/>
    </row>
    <row r="8" spans="1:10" s="116" customFormat="1">
      <c r="A8" s="113"/>
      <c r="B8" s="114" t="s">
        <v>70</v>
      </c>
      <c r="C8" s="115"/>
      <c r="D8" s="115"/>
      <c r="E8" s="115"/>
      <c r="F8" s="115"/>
      <c r="G8" s="115"/>
      <c r="H8" s="115"/>
      <c r="I8" s="115"/>
      <c r="J8" s="115"/>
    </row>
    <row r="9" spans="1:10" s="116" customFormat="1">
      <c r="A9" s="113"/>
      <c r="B9" s="114" t="s">
        <v>71</v>
      </c>
      <c r="C9" s="115"/>
      <c r="D9" s="115"/>
      <c r="E9" s="115"/>
      <c r="F9" s="115"/>
      <c r="G9" s="115"/>
      <c r="H9" s="115"/>
      <c r="I9" s="115"/>
      <c r="J9" s="115"/>
    </row>
    <row r="10" spans="1:10" s="116" customFormat="1">
      <c r="A10" s="113"/>
      <c r="B10" s="114" t="s">
        <v>72</v>
      </c>
      <c r="C10" s="115"/>
      <c r="D10" s="115"/>
      <c r="E10" s="115"/>
      <c r="F10" s="115"/>
      <c r="G10" s="115"/>
      <c r="H10" s="115"/>
      <c r="I10" s="115"/>
      <c r="J10" s="115"/>
    </row>
    <row r="11" spans="1:10" s="116" customFormat="1">
      <c r="A11" s="113"/>
      <c r="B11" s="114" t="s">
        <v>73</v>
      </c>
      <c r="C11" s="115"/>
      <c r="D11" s="115"/>
      <c r="E11" s="115"/>
      <c r="F11" s="115"/>
      <c r="G11" s="115"/>
      <c r="H11" s="115"/>
      <c r="I11" s="115"/>
      <c r="J11" s="115"/>
    </row>
    <row r="12" spans="1:10" s="116" customFormat="1">
      <c r="A12" s="113"/>
      <c r="B12" s="114" t="s">
        <v>74</v>
      </c>
      <c r="C12" s="115"/>
      <c r="D12" s="115"/>
      <c r="E12" s="115"/>
      <c r="F12" s="115"/>
      <c r="G12" s="115"/>
      <c r="H12" s="115"/>
      <c r="I12" s="115"/>
      <c r="J12" s="115"/>
    </row>
    <row r="13" spans="1:10" s="116" customFormat="1">
      <c r="A13" s="113"/>
      <c r="B13" s="114"/>
      <c r="C13" s="115"/>
      <c r="D13" s="115"/>
      <c r="E13" s="115"/>
      <c r="F13" s="115"/>
      <c r="G13" s="115"/>
      <c r="H13" s="115"/>
      <c r="I13" s="115"/>
      <c r="J13" s="115"/>
    </row>
    <row r="14" spans="1:10" s="116" customFormat="1">
      <c r="A14" s="113" t="s">
        <v>75</v>
      </c>
      <c r="B14" s="114" t="s">
        <v>76</v>
      </c>
      <c r="C14" s="115"/>
      <c r="D14" s="115"/>
      <c r="E14" s="115"/>
      <c r="F14" s="115"/>
      <c r="G14" s="115"/>
      <c r="H14" s="115"/>
      <c r="I14" s="115"/>
      <c r="J14" s="115"/>
    </row>
    <row r="15" spans="1:10" s="116" customFormat="1">
      <c r="A15" s="113"/>
      <c r="B15" s="114" t="s">
        <v>77</v>
      </c>
      <c r="C15" s="115"/>
      <c r="D15" s="115"/>
      <c r="E15" s="115"/>
      <c r="F15" s="115"/>
      <c r="G15" s="115"/>
      <c r="H15" s="115"/>
      <c r="I15" s="115"/>
      <c r="J15" s="115"/>
    </row>
    <row r="16" spans="1:10" s="116" customFormat="1">
      <c r="A16" s="113"/>
      <c r="B16" s="114" t="s">
        <v>78</v>
      </c>
      <c r="C16" s="115"/>
      <c r="D16" s="115"/>
      <c r="E16" s="115"/>
      <c r="F16" s="115"/>
      <c r="G16" s="115"/>
      <c r="H16" s="115"/>
      <c r="I16" s="115"/>
      <c r="J16" s="115"/>
    </row>
    <row r="17" spans="1:10" s="116" customFormat="1">
      <c r="A17" s="113"/>
      <c r="B17" s="114" t="s">
        <v>108</v>
      </c>
      <c r="C17" s="115"/>
      <c r="D17" s="115"/>
      <c r="E17" s="115"/>
      <c r="F17" s="115"/>
      <c r="G17" s="115"/>
      <c r="H17" s="115"/>
      <c r="I17" s="115"/>
      <c r="J17" s="115"/>
    </row>
    <row r="18" spans="1:10" s="116" customFormat="1">
      <c r="A18" s="113"/>
      <c r="B18" s="114" t="s">
        <v>100</v>
      </c>
      <c r="C18" s="115"/>
      <c r="D18" s="115"/>
      <c r="E18" s="115"/>
      <c r="F18" s="115"/>
      <c r="G18" s="115"/>
      <c r="H18" s="115"/>
      <c r="I18" s="115"/>
      <c r="J18" s="115"/>
    </row>
    <row r="19" spans="1:10" s="116" customFormat="1">
      <c r="A19" s="113"/>
      <c r="B19" s="114" t="s">
        <v>101</v>
      </c>
      <c r="C19" s="115"/>
      <c r="D19" s="115"/>
      <c r="E19" s="115"/>
      <c r="F19" s="115"/>
      <c r="G19" s="115"/>
      <c r="H19" s="115"/>
      <c r="I19" s="115"/>
      <c r="J19" s="115"/>
    </row>
    <row r="20" spans="1:10" s="116" customFormat="1">
      <c r="A20" s="113"/>
      <c r="B20" s="114"/>
      <c r="C20" s="115"/>
      <c r="D20" s="115"/>
      <c r="E20" s="115"/>
      <c r="F20" s="115"/>
      <c r="G20" s="115"/>
      <c r="H20" s="115"/>
      <c r="I20" s="115"/>
      <c r="J20" s="115"/>
    </row>
    <row r="21" spans="1:10" s="116" customFormat="1">
      <c r="A21" s="113" t="s">
        <v>79</v>
      </c>
      <c r="B21" s="114" t="s">
        <v>80</v>
      </c>
      <c r="C21" s="115"/>
      <c r="D21" s="115"/>
      <c r="E21" s="115"/>
      <c r="F21" s="115"/>
      <c r="G21" s="115"/>
      <c r="H21" s="115"/>
      <c r="I21" s="115"/>
      <c r="J21" s="115"/>
    </row>
    <row r="22" spans="1:10" s="116" customFormat="1">
      <c r="A22" s="113"/>
      <c r="B22" s="114"/>
      <c r="C22" s="115"/>
      <c r="D22" s="115"/>
      <c r="E22" s="115"/>
      <c r="F22" s="115"/>
      <c r="G22" s="115"/>
      <c r="H22" s="115"/>
      <c r="I22" s="115"/>
      <c r="J22" s="115"/>
    </row>
    <row r="23" spans="1:10" s="116" customFormat="1">
      <c r="A23" s="113" t="s">
        <v>81</v>
      </c>
      <c r="B23" s="114" t="s">
        <v>102</v>
      </c>
      <c r="C23" s="115"/>
      <c r="D23" s="115"/>
      <c r="E23" s="115"/>
      <c r="F23" s="115"/>
      <c r="G23" s="115"/>
      <c r="H23" s="115"/>
      <c r="I23" s="115"/>
      <c r="J23" s="115"/>
    </row>
    <row r="24" spans="1:10" s="116" customFormat="1">
      <c r="A24" s="113"/>
      <c r="B24" s="114" t="s">
        <v>82</v>
      </c>
      <c r="C24" s="115"/>
      <c r="D24" s="115"/>
      <c r="E24" s="115"/>
      <c r="F24" s="115"/>
      <c r="G24" s="115"/>
      <c r="H24" s="115"/>
      <c r="I24" s="115"/>
      <c r="J24" s="115"/>
    </row>
    <row r="25" spans="1:10" s="116" customFormat="1">
      <c r="A25" s="113"/>
      <c r="B25" s="114"/>
      <c r="C25" s="115"/>
      <c r="D25" s="115"/>
      <c r="E25" s="115"/>
      <c r="F25" s="115"/>
      <c r="G25" s="115"/>
      <c r="H25" s="115"/>
      <c r="I25" s="115"/>
      <c r="J25" s="115"/>
    </row>
    <row r="26" spans="1:10" s="116" customFormat="1">
      <c r="A26" s="113" t="s">
        <v>83</v>
      </c>
      <c r="B26" s="114" t="s">
        <v>84</v>
      </c>
      <c r="C26" s="115"/>
      <c r="D26" s="115"/>
      <c r="E26" s="115"/>
      <c r="F26" s="115"/>
      <c r="G26" s="115"/>
      <c r="H26" s="115"/>
      <c r="I26" s="115"/>
      <c r="J26" s="115"/>
    </row>
    <row r="27" spans="1:10" s="116" customFormat="1">
      <c r="A27" s="113"/>
      <c r="B27" s="114" t="s">
        <v>82</v>
      </c>
      <c r="C27" s="115"/>
      <c r="D27" s="115"/>
      <c r="E27" s="115"/>
      <c r="F27" s="115"/>
      <c r="G27" s="115"/>
      <c r="H27" s="115"/>
      <c r="I27" s="115"/>
      <c r="J27" s="115"/>
    </row>
    <row r="28" spans="1:10" s="116" customFormat="1">
      <c r="A28" s="113"/>
      <c r="B28" s="114" t="s">
        <v>103</v>
      </c>
      <c r="C28" s="115"/>
      <c r="D28" s="115"/>
      <c r="E28" s="115"/>
      <c r="F28" s="115"/>
      <c r="G28" s="115"/>
      <c r="H28" s="115"/>
      <c r="I28" s="115"/>
      <c r="J28" s="115"/>
    </row>
    <row r="29" spans="1:10" s="116" customFormat="1">
      <c r="A29" s="113"/>
      <c r="B29" s="114" t="s">
        <v>85</v>
      </c>
      <c r="C29" s="115"/>
      <c r="D29" s="115"/>
      <c r="E29" s="115"/>
      <c r="F29" s="115"/>
      <c r="G29" s="115"/>
      <c r="H29" s="115"/>
      <c r="I29" s="115"/>
      <c r="J29" s="115"/>
    </row>
    <row r="30" spans="1:10" s="116" customFormat="1">
      <c r="A30" s="113"/>
      <c r="B30" s="114" t="s">
        <v>104</v>
      </c>
      <c r="C30" s="115"/>
      <c r="D30" s="115"/>
      <c r="E30" s="115"/>
      <c r="F30" s="115"/>
      <c r="G30" s="115"/>
      <c r="H30" s="115"/>
      <c r="I30" s="115"/>
      <c r="J30" s="115"/>
    </row>
    <row r="31" spans="1:10" s="116" customFormat="1">
      <c r="A31" s="113"/>
      <c r="B31" s="114"/>
      <c r="C31" s="115"/>
      <c r="D31" s="115"/>
      <c r="E31" s="115"/>
      <c r="F31" s="115"/>
      <c r="G31" s="115"/>
      <c r="H31" s="115"/>
      <c r="I31" s="115"/>
      <c r="J31" s="115"/>
    </row>
    <row r="32" spans="1:10" s="116" customFormat="1">
      <c r="A32" s="113" t="s">
        <v>86</v>
      </c>
      <c r="B32" s="114" t="s">
        <v>87</v>
      </c>
      <c r="C32" s="115"/>
      <c r="D32" s="115"/>
      <c r="E32" s="115"/>
      <c r="F32" s="115"/>
      <c r="G32" s="115"/>
      <c r="H32" s="115"/>
      <c r="I32" s="115"/>
      <c r="J32" s="115"/>
    </row>
    <row r="33" spans="1:10" s="116" customFormat="1">
      <c r="A33" s="113"/>
      <c r="B33" s="114" t="s">
        <v>88</v>
      </c>
      <c r="C33" s="115"/>
      <c r="D33" s="115"/>
      <c r="E33" s="115"/>
      <c r="F33" s="115"/>
      <c r="G33" s="115"/>
      <c r="H33" s="115"/>
      <c r="I33" s="115"/>
      <c r="J33" s="115"/>
    </row>
    <row r="34" spans="1:10" s="116" customFormat="1">
      <c r="A34" s="113"/>
      <c r="B34" s="114" t="s">
        <v>89</v>
      </c>
      <c r="C34" s="115"/>
      <c r="D34" s="115"/>
      <c r="E34" s="115"/>
      <c r="F34" s="115"/>
      <c r="G34" s="115"/>
      <c r="H34" s="115"/>
      <c r="I34" s="115"/>
      <c r="J34" s="115"/>
    </row>
    <row r="35" spans="1:10" s="116" customFormat="1">
      <c r="A35" s="113"/>
      <c r="B35" s="114" t="s">
        <v>82</v>
      </c>
      <c r="C35" s="115"/>
      <c r="D35" s="115"/>
      <c r="E35" s="115"/>
      <c r="F35" s="115"/>
      <c r="G35" s="115"/>
      <c r="H35" s="115"/>
      <c r="I35" s="115"/>
      <c r="J35" s="115"/>
    </row>
    <row r="36" spans="1:10" s="116" customFormat="1">
      <c r="A36" s="113"/>
      <c r="B36" s="114"/>
      <c r="C36" s="115"/>
      <c r="D36" s="115"/>
      <c r="E36" s="115"/>
      <c r="F36" s="115"/>
      <c r="G36" s="115"/>
      <c r="H36" s="115"/>
      <c r="I36" s="115"/>
      <c r="J36" s="115"/>
    </row>
    <row r="37" spans="1:10" s="116" customFormat="1">
      <c r="A37" s="113" t="s">
        <v>90</v>
      </c>
      <c r="B37" s="114" t="s">
        <v>109</v>
      </c>
      <c r="C37" s="115"/>
      <c r="D37" s="115"/>
      <c r="E37" s="115"/>
      <c r="F37" s="115"/>
      <c r="G37" s="115"/>
      <c r="H37" s="115"/>
      <c r="I37" s="115"/>
      <c r="J37" s="115"/>
    </row>
    <row r="38" spans="1:10" s="116" customFormat="1">
      <c r="A38" s="113"/>
      <c r="B38" s="114" t="s">
        <v>105</v>
      </c>
      <c r="C38" s="115"/>
      <c r="D38" s="115"/>
      <c r="E38" s="115"/>
      <c r="F38" s="115"/>
      <c r="G38" s="115"/>
      <c r="H38" s="115"/>
      <c r="I38" s="115"/>
      <c r="J38" s="115"/>
    </row>
    <row r="39" spans="1:10" s="116" customFormat="1">
      <c r="A39" s="113"/>
      <c r="B39" s="114" t="s">
        <v>106</v>
      </c>
      <c r="C39" s="115"/>
      <c r="D39" s="115"/>
      <c r="E39" s="115"/>
      <c r="F39" s="115"/>
      <c r="G39" s="115"/>
      <c r="H39" s="115"/>
      <c r="I39" s="115"/>
      <c r="J39" s="115"/>
    </row>
    <row r="40" spans="1:10" s="116" customFormat="1">
      <c r="A40" s="113"/>
      <c r="B40" s="114" t="s">
        <v>107</v>
      </c>
      <c r="C40" s="115"/>
      <c r="D40" s="115"/>
      <c r="E40" s="115"/>
      <c r="F40" s="115"/>
      <c r="G40" s="115"/>
      <c r="H40" s="115"/>
      <c r="I40" s="115"/>
      <c r="J40" s="115"/>
    </row>
    <row r="41" spans="1:10" s="116" customFormat="1">
      <c r="A41" s="113"/>
      <c r="B41" s="114"/>
      <c r="C41" s="115"/>
      <c r="D41" s="115"/>
      <c r="E41" s="115"/>
      <c r="F41" s="115"/>
      <c r="G41" s="115"/>
      <c r="H41" s="115"/>
      <c r="I41" s="115"/>
      <c r="J41" s="115"/>
    </row>
    <row r="42" spans="1:10" s="116" customFormat="1">
      <c r="A42" s="113"/>
      <c r="B42" s="114"/>
      <c r="C42" s="115"/>
      <c r="D42" s="115"/>
      <c r="E42" s="115"/>
      <c r="F42" s="115"/>
      <c r="G42" s="115"/>
      <c r="H42" s="115"/>
      <c r="I42" s="115"/>
      <c r="J42" s="115"/>
    </row>
    <row r="43" spans="1:10" s="120" customFormat="1">
      <c r="A43" s="117"/>
      <c r="B43" s="118" t="s">
        <v>115</v>
      </c>
      <c r="C43" s="119"/>
      <c r="D43" s="119"/>
      <c r="E43" s="119"/>
      <c r="F43" s="119"/>
      <c r="G43" s="119"/>
      <c r="H43" s="119"/>
      <c r="I43" s="119"/>
      <c r="J43" s="119"/>
    </row>
    <row r="44" spans="1:10" s="120" customFormat="1">
      <c r="A44" s="117"/>
      <c r="B44" s="121" t="s">
        <v>91</v>
      </c>
      <c r="C44" s="119"/>
      <c r="D44" s="119"/>
      <c r="E44" s="119"/>
      <c r="F44" s="119"/>
      <c r="G44" s="119"/>
      <c r="H44" s="119"/>
      <c r="I44" s="119"/>
      <c r="J44" s="119"/>
    </row>
    <row r="45" spans="1:10" s="120" customFormat="1">
      <c r="A45" s="117"/>
      <c r="B45" s="121" t="s">
        <v>92</v>
      </c>
      <c r="C45" s="119"/>
      <c r="D45" s="119"/>
      <c r="E45" s="119"/>
      <c r="F45" s="119"/>
      <c r="G45" s="119"/>
      <c r="H45" s="119"/>
      <c r="I45" s="119"/>
      <c r="J45" s="119"/>
    </row>
    <row r="46" spans="1:10" s="120" customFormat="1">
      <c r="A46" s="117"/>
      <c r="B46" s="121"/>
      <c r="C46" s="119"/>
      <c r="D46" s="119"/>
      <c r="E46" s="119"/>
      <c r="F46" s="119"/>
      <c r="G46" s="119"/>
      <c r="H46" s="119"/>
      <c r="I46" s="119"/>
      <c r="J46" s="119"/>
    </row>
    <row r="47" spans="1:10" s="120" customFormat="1">
      <c r="A47" s="117"/>
      <c r="B47" s="121" t="s">
        <v>93</v>
      </c>
      <c r="C47" s="119"/>
      <c r="D47" s="119"/>
      <c r="E47" s="119"/>
      <c r="F47" s="119"/>
      <c r="G47" s="119"/>
      <c r="H47" s="119"/>
      <c r="I47" s="119"/>
      <c r="J47" s="119"/>
    </row>
    <row r="48" spans="1:10" s="120" customFormat="1">
      <c r="A48" s="117"/>
      <c r="B48" s="121" t="s">
        <v>94</v>
      </c>
      <c r="C48" s="119"/>
      <c r="D48" s="119"/>
      <c r="E48" s="119"/>
      <c r="F48" s="119"/>
      <c r="G48" s="119"/>
      <c r="H48" s="119"/>
      <c r="I48" s="119"/>
      <c r="J48" s="119"/>
    </row>
    <row r="49" spans="1:10" s="120" customFormat="1">
      <c r="A49" s="117"/>
      <c r="B49" s="121" t="s">
        <v>95</v>
      </c>
      <c r="C49" s="119"/>
      <c r="D49" s="119"/>
      <c r="E49" s="119"/>
      <c r="F49" s="119"/>
      <c r="G49" s="119"/>
      <c r="H49" s="119"/>
      <c r="I49" s="119"/>
      <c r="J49" s="119"/>
    </row>
    <row r="50" spans="1:10" s="116" customFormat="1">
      <c r="A50" s="113"/>
      <c r="B50" s="114"/>
      <c r="C50" s="115"/>
      <c r="D50" s="115"/>
      <c r="E50" s="115"/>
      <c r="F50" s="115"/>
      <c r="G50" s="115"/>
      <c r="H50" s="115"/>
      <c r="I50" s="115"/>
      <c r="J50" s="115"/>
    </row>
    <row r="51" spans="1:10" s="116" customFormat="1">
      <c r="A51" s="113"/>
      <c r="B51" s="114" t="s">
        <v>96</v>
      </c>
      <c r="C51" s="115"/>
      <c r="D51" s="115"/>
      <c r="E51" s="115"/>
      <c r="F51" s="115"/>
      <c r="G51" s="115"/>
      <c r="H51" s="115"/>
      <c r="I51" s="115"/>
      <c r="J51" s="115"/>
    </row>
    <row r="52" spans="1:10" s="116" customFormat="1">
      <c r="A52" s="113"/>
      <c r="B52" s="114" t="s">
        <v>97</v>
      </c>
      <c r="C52" s="115"/>
      <c r="D52" s="115"/>
      <c r="E52" s="115"/>
      <c r="F52" s="115"/>
      <c r="G52" s="115"/>
      <c r="H52" s="115"/>
      <c r="I52" s="115"/>
      <c r="J52" s="115"/>
    </row>
    <row r="53" spans="1:10" s="116" customFormat="1">
      <c r="A53" s="113"/>
      <c r="B53" s="114" t="s">
        <v>98</v>
      </c>
      <c r="C53" s="115"/>
      <c r="D53" s="115"/>
      <c r="E53" s="115"/>
      <c r="F53" s="115"/>
      <c r="G53" s="115"/>
      <c r="H53" s="115"/>
      <c r="I53" s="115"/>
      <c r="J53" s="115"/>
    </row>
    <row r="54" spans="1:10" s="116" customFormat="1">
      <c r="A54" s="113"/>
      <c r="B54" s="114" t="s">
        <v>99</v>
      </c>
      <c r="C54" s="115"/>
      <c r="D54" s="115"/>
      <c r="E54" s="115"/>
      <c r="F54" s="115"/>
      <c r="G54" s="115"/>
      <c r="H54" s="115"/>
      <c r="I54" s="115"/>
      <c r="J54" s="115"/>
    </row>
    <row r="55" spans="1:10" s="116" customFormat="1">
      <c r="A55" s="113"/>
      <c r="B55" s="114"/>
      <c r="C55" s="115"/>
      <c r="D55" s="115"/>
      <c r="E55" s="115"/>
      <c r="F55" s="115"/>
      <c r="G55" s="115"/>
      <c r="H55" s="115"/>
      <c r="I55" s="115"/>
      <c r="J55" s="115"/>
    </row>
    <row r="56" spans="1:10" s="116" customFormat="1">
      <c r="A56" s="113"/>
      <c r="B56" s="114"/>
      <c r="C56" s="115"/>
      <c r="D56" s="115"/>
      <c r="E56" s="115"/>
      <c r="F56" s="115"/>
      <c r="G56" s="115"/>
      <c r="H56" s="115"/>
      <c r="I56" s="115"/>
      <c r="J56" s="115"/>
    </row>
  </sheetData>
  <sheetProtection password="A86B" sheet="1" objects="1" scenarios="1"/>
  <phoneticPr fontId="0" type="noConversion"/>
  <pageMargins left="0.74803149606299213" right="0.74803149606299213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B1:O201"/>
  <sheetViews>
    <sheetView zoomScale="118" zoomScaleNormal="118" zoomScalePageLayoutView="118" workbookViewId="0">
      <pane ySplit="13" topLeftCell="A56" activePane="bottomLeft" state="frozen"/>
      <selection pane="bottomLeft" activeCell="E70" sqref="E70"/>
    </sheetView>
  </sheetViews>
  <sheetFormatPr baseColWidth="10" defaultColWidth="8.83203125" defaultRowHeight="12" x14ac:dyDescent="0"/>
  <cols>
    <col min="1" max="1" width="5.1640625" style="66" customWidth="1"/>
    <col min="2" max="2" width="6.1640625" style="67" customWidth="1"/>
    <col min="3" max="3" width="6.6640625" style="88" customWidth="1"/>
    <col min="4" max="4" width="6.6640625" style="66" customWidth="1"/>
    <col min="5" max="5" width="9.5" style="66" customWidth="1"/>
    <col min="6" max="6" width="7.6640625" style="69" customWidth="1"/>
    <col min="7" max="7" width="7.33203125" style="69" customWidth="1"/>
    <col min="8" max="8" width="9.6640625" style="66" customWidth="1"/>
    <col min="9" max="10" width="9.6640625" style="70" hidden="1" customWidth="1"/>
    <col min="11" max="11" width="9.33203125" style="71" customWidth="1"/>
    <col min="12" max="12" width="7.33203125" style="72" customWidth="1"/>
    <col min="13" max="13" width="8.6640625" style="66" customWidth="1"/>
    <col min="14" max="14" width="6.5" style="66" customWidth="1"/>
    <col min="15" max="16384" width="8.83203125" style="66"/>
  </cols>
  <sheetData>
    <row r="1" spans="2:15" ht="17">
      <c r="B1" s="126" t="str">
        <f>info3a&amp; "  " &amp; info5a &amp;" Constant Rate Test"</f>
        <v>NJALA  1 Constant Rate Test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15">
      <c r="C2" s="68"/>
    </row>
    <row r="3" spans="2:15" s="89" customFormat="1">
      <c r="C3" s="90" t="s">
        <v>28</v>
      </c>
      <c r="D3" s="38" t="s">
        <v>119</v>
      </c>
      <c r="E3" s="38"/>
      <c r="F3" s="38"/>
      <c r="G3" s="16"/>
      <c r="H3" s="91"/>
      <c r="I3" s="92"/>
      <c r="J3" s="92"/>
      <c r="K3" s="93" t="s">
        <v>30</v>
      </c>
      <c r="L3" s="127">
        <v>0.1</v>
      </c>
      <c r="M3" s="127"/>
      <c r="N3" s="127"/>
    </row>
    <row r="4" spans="2:15" s="89" customFormat="1">
      <c r="C4" s="90" t="s">
        <v>29</v>
      </c>
      <c r="D4" s="38" t="s">
        <v>120</v>
      </c>
      <c r="E4" s="38"/>
      <c r="F4" s="38"/>
      <c r="G4" s="16"/>
      <c r="H4" s="91"/>
      <c r="I4" s="92"/>
      <c r="J4" s="92"/>
      <c r="K4" s="93" t="s">
        <v>31</v>
      </c>
      <c r="L4" s="128">
        <v>118.8</v>
      </c>
      <c r="M4" s="128"/>
      <c r="N4" s="128"/>
    </row>
    <row r="5" spans="2:15" s="89" customFormat="1">
      <c r="C5" s="90" t="s">
        <v>32</v>
      </c>
      <c r="D5" s="38" t="s">
        <v>121</v>
      </c>
      <c r="E5" s="38"/>
      <c r="F5" s="38"/>
      <c r="G5" s="16"/>
      <c r="H5" s="91"/>
      <c r="I5" s="92"/>
      <c r="J5" s="92"/>
      <c r="K5" s="93" t="s">
        <v>57</v>
      </c>
      <c r="L5" s="129">
        <v>1.77</v>
      </c>
      <c r="M5" s="129"/>
      <c r="N5" s="129"/>
    </row>
    <row r="6" spans="2:15" s="89" customFormat="1">
      <c r="C6" s="90" t="s">
        <v>36</v>
      </c>
      <c r="D6" s="103">
        <v>1</v>
      </c>
      <c r="E6" s="103"/>
      <c r="F6" s="103"/>
      <c r="G6" s="16"/>
      <c r="I6" s="94"/>
      <c r="J6" s="94"/>
      <c r="K6" s="1" t="s">
        <v>60</v>
      </c>
      <c r="L6" s="125" t="s">
        <v>123</v>
      </c>
      <c r="M6" s="125"/>
      <c r="N6" s="125"/>
    </row>
    <row r="7" spans="2:15" s="89" customFormat="1">
      <c r="C7" s="90" t="s">
        <v>35</v>
      </c>
      <c r="D7" s="104">
        <v>1</v>
      </c>
      <c r="E7" s="103"/>
      <c r="F7" s="103"/>
      <c r="G7" s="16"/>
      <c r="I7" s="94"/>
      <c r="J7" s="94"/>
      <c r="K7" s="1" t="s">
        <v>39</v>
      </c>
      <c r="L7" s="125" t="s">
        <v>122</v>
      </c>
      <c r="M7" s="125"/>
      <c r="N7" s="125"/>
    </row>
    <row r="8" spans="2:15" s="89" customFormat="1">
      <c r="C8" s="90" t="s">
        <v>34</v>
      </c>
      <c r="D8" s="105" t="s">
        <v>110</v>
      </c>
      <c r="E8" s="105"/>
      <c r="F8" s="105"/>
      <c r="G8" s="16"/>
      <c r="I8" s="94"/>
      <c r="J8" s="94"/>
      <c r="K8" s="1" t="s">
        <v>40</v>
      </c>
      <c r="L8" s="124" t="s">
        <v>122</v>
      </c>
      <c r="M8" s="106"/>
      <c r="N8" s="106"/>
    </row>
    <row r="9" spans="2:15" s="89" customFormat="1">
      <c r="C9" s="90" t="s">
        <v>33</v>
      </c>
      <c r="D9" s="105" t="s">
        <v>111</v>
      </c>
      <c r="E9" s="105"/>
      <c r="F9" s="105"/>
      <c r="G9" s="16"/>
      <c r="H9" s="95"/>
      <c r="I9" s="96"/>
      <c r="J9" s="96"/>
      <c r="K9" s="93" t="s">
        <v>41</v>
      </c>
      <c r="L9" s="38" t="s">
        <v>113</v>
      </c>
      <c r="M9" s="38"/>
      <c r="N9" s="38"/>
    </row>
    <row r="10" spans="2:15" s="99" customFormat="1">
      <c r="B10" s="97"/>
      <c r="C10" s="90" t="s">
        <v>59</v>
      </c>
      <c r="D10" s="38" t="s">
        <v>112</v>
      </c>
      <c r="E10" s="98"/>
      <c r="F10" s="110"/>
      <c r="G10" s="100"/>
      <c r="H10" s="100"/>
      <c r="I10" s="101" t="s">
        <v>53</v>
      </c>
      <c r="J10" s="101" t="s">
        <v>53</v>
      </c>
      <c r="K10" s="93" t="s">
        <v>42</v>
      </c>
      <c r="L10" s="38" t="s">
        <v>114</v>
      </c>
      <c r="M10" s="38"/>
      <c r="N10" s="38"/>
      <c r="O10" s="102"/>
    </row>
    <row r="11" spans="2:15">
      <c r="C11" s="73"/>
      <c r="D11" s="74"/>
      <c r="E11" s="76"/>
      <c r="F11" s="66"/>
      <c r="H11" s="69"/>
      <c r="I11" s="77"/>
      <c r="J11" s="77"/>
      <c r="K11" s="66"/>
      <c r="L11" s="79"/>
      <c r="M11" s="80" t="str">
        <f ca="1">CELL("filename")</f>
        <v>Macintosh HD:Users:gillessalome:Dropbox:SierraLeone-RWSSP:C1-BOREHOLE (WINGIN BRUNNBRAU):PUMPING TEST RESULTS &amp; INST DEPTHS:HP BOREHOLES:[HP install depth seen PDW 20082016 (calculations).xlsx]Pujehun</v>
      </c>
      <c r="N11" s="75"/>
      <c r="O11" s="78"/>
    </row>
    <row r="12" spans="2:15" s="81" customFormat="1" ht="13.25" customHeight="1">
      <c r="B12" s="2" t="s">
        <v>46</v>
      </c>
      <c r="C12" s="19" t="s">
        <v>0</v>
      </c>
      <c r="D12" s="2" t="s">
        <v>0</v>
      </c>
      <c r="E12" s="2" t="s">
        <v>45</v>
      </c>
      <c r="F12" s="17" t="s">
        <v>48</v>
      </c>
      <c r="G12" s="17" t="s">
        <v>50</v>
      </c>
      <c r="H12" s="3" t="s">
        <v>2</v>
      </c>
      <c r="I12" s="21" t="s">
        <v>2</v>
      </c>
      <c r="J12" s="21" t="s">
        <v>2</v>
      </c>
      <c r="K12" s="4" t="s">
        <v>13</v>
      </c>
      <c r="L12" s="5" t="s">
        <v>7</v>
      </c>
      <c r="M12" s="5" t="s">
        <v>37</v>
      </c>
    </row>
    <row r="13" spans="2:15" s="82" customFormat="1" ht="13.25" customHeight="1">
      <c r="B13" s="6" t="s">
        <v>1</v>
      </c>
      <c r="C13" s="20" t="s">
        <v>47</v>
      </c>
      <c r="D13" s="6" t="s">
        <v>43</v>
      </c>
      <c r="E13" s="6" t="s">
        <v>27</v>
      </c>
      <c r="F13" s="18" t="s">
        <v>49</v>
      </c>
      <c r="G13" s="18" t="s">
        <v>62</v>
      </c>
      <c r="H13" s="7" t="s">
        <v>27</v>
      </c>
      <c r="I13" s="22" t="s">
        <v>52</v>
      </c>
      <c r="J13" s="22" t="s">
        <v>51</v>
      </c>
      <c r="K13" s="8" t="s">
        <v>2</v>
      </c>
      <c r="L13" s="9" t="s">
        <v>14</v>
      </c>
      <c r="M13" s="9" t="s">
        <v>38</v>
      </c>
    </row>
    <row r="14" spans="2:15" s="86" customFormat="1" ht="10">
      <c r="B14" s="23">
        <v>1</v>
      </c>
      <c r="C14" s="111">
        <v>0.39930555555555558</v>
      </c>
      <c r="D14" s="24">
        <v>0.5</v>
      </c>
      <c r="E14" s="30"/>
      <c r="F14" s="24"/>
      <c r="G14" s="25"/>
      <c r="H14" s="83" t="str">
        <f t="shared" ref="H14:H39" si="0">IF(E14&lt;&gt;"",ABS(E14-watertable),"")</f>
        <v/>
      </c>
      <c r="I14" s="26">
        <f t="shared" ref="I14:I77" si="1">IF((M14="")*AND(H14=""),-1,IF((M14=""),H14,-1))</f>
        <v>-1</v>
      </c>
      <c r="J14" s="26">
        <f t="shared" ref="J14:J77" si="2">IF((M14="yes")*AND(H14=""),-1,IF((M14="yes"),H14,-1))</f>
        <v>-1</v>
      </c>
      <c r="K14" s="27" t="str">
        <f>IF(E14&lt;&gt;"",slope*LN(D14)+intercept,"")</f>
        <v/>
      </c>
      <c r="L14" s="28" t="str">
        <f>IF((M14="yes"),IF(E14&lt;&gt;"",ABS((K14-H14)/J14*100),""),"")</f>
        <v/>
      </c>
      <c r="M14" s="23" t="str">
        <f>IF(u_0.05&gt;D14,"","yes")</f>
        <v/>
      </c>
      <c r="N14" s="84"/>
      <c r="O14" s="85"/>
    </row>
    <row r="15" spans="2:15" s="86" customFormat="1">
      <c r="B15" s="23">
        <f t="shared" ref="B15:B39" si="3">IF(D15="","",B14+1)</f>
        <v>2</v>
      </c>
      <c r="C15" s="29">
        <f>IF((D15&lt;&gt;0),C$14+(D15/1440),"")</f>
        <v>0.4</v>
      </c>
      <c r="D15" s="24">
        <v>1</v>
      </c>
      <c r="E15" s="122">
        <v>2.11</v>
      </c>
      <c r="F15" s="24"/>
      <c r="G15" s="25"/>
      <c r="H15" s="83">
        <f t="shared" si="0"/>
        <v>0.33999999999999986</v>
      </c>
      <c r="I15" s="26">
        <f t="shared" si="1"/>
        <v>0.33999999999999986</v>
      </c>
      <c r="J15" s="26">
        <f t="shared" si="2"/>
        <v>-1</v>
      </c>
      <c r="K15" s="27">
        <f t="shared" ref="K15:K37" si="4">IF(E15&lt;&gt;"",slope*LN(D15)+intercept,"")</f>
        <v>-3.7473200442967851</v>
      </c>
      <c r="L15" s="28" t="str">
        <f t="shared" ref="L15:L78" si="5">IF((M15="yes"),IF(E15&lt;&gt;"",ABS((K15-H15)/J15*100),""),"")</f>
        <v/>
      </c>
      <c r="M15" s="23" t="str">
        <f t="shared" ref="M15:M78" si="6">IF(u_0.05&gt;D15,"","yes")</f>
        <v/>
      </c>
      <c r="N15" s="84"/>
    </row>
    <row r="16" spans="2:15" s="86" customFormat="1" ht="10">
      <c r="B16" s="23">
        <f t="shared" si="3"/>
        <v>3</v>
      </c>
      <c r="C16" s="29">
        <f t="shared" ref="C16:C79" si="7">IF((D16&lt;&gt;0),C$14+(D16/1440),"")</f>
        <v>0.40034722222222224</v>
      </c>
      <c r="D16" s="24">
        <v>1.5</v>
      </c>
      <c r="E16" s="30"/>
      <c r="F16" s="24"/>
      <c r="G16" s="25"/>
      <c r="H16" s="83" t="str">
        <f t="shared" si="0"/>
        <v/>
      </c>
      <c r="I16" s="26">
        <f t="shared" si="1"/>
        <v>-1</v>
      </c>
      <c r="J16" s="26">
        <f t="shared" si="2"/>
        <v>-1</v>
      </c>
      <c r="K16" s="27" t="str">
        <f t="shared" si="4"/>
        <v/>
      </c>
      <c r="L16" s="28" t="str">
        <f t="shared" si="5"/>
        <v/>
      </c>
      <c r="M16" s="23" t="str">
        <f t="shared" si="6"/>
        <v/>
      </c>
      <c r="N16" s="84"/>
    </row>
    <row r="17" spans="2:14" s="86" customFormat="1">
      <c r="B17" s="23">
        <f t="shared" si="3"/>
        <v>4</v>
      </c>
      <c r="C17" s="29">
        <f t="shared" si="7"/>
        <v>0.40069444444444446</v>
      </c>
      <c r="D17" s="24">
        <v>2</v>
      </c>
      <c r="E17" s="122">
        <v>2.11</v>
      </c>
      <c r="F17" s="24"/>
      <c r="G17" s="25"/>
      <c r="H17" s="83">
        <f t="shared" si="0"/>
        <v>0.33999999999999986</v>
      </c>
      <c r="I17" s="26">
        <f t="shared" si="1"/>
        <v>0.33999999999999986</v>
      </c>
      <c r="J17" s="26">
        <f t="shared" si="2"/>
        <v>-1</v>
      </c>
      <c r="K17" s="27">
        <f t="shared" si="4"/>
        <v>-1.6115516734360553</v>
      </c>
      <c r="L17" s="28" t="str">
        <f t="shared" si="5"/>
        <v/>
      </c>
      <c r="M17" s="23" t="str">
        <f t="shared" si="6"/>
        <v/>
      </c>
      <c r="N17" s="84"/>
    </row>
    <row r="18" spans="2:14" s="86" customFormat="1" ht="10">
      <c r="B18" s="23">
        <f t="shared" si="3"/>
        <v>5</v>
      </c>
      <c r="C18" s="29">
        <f t="shared" si="7"/>
        <v>0.40104166666666669</v>
      </c>
      <c r="D18" s="24">
        <v>2.5</v>
      </c>
      <c r="E18" s="30"/>
      <c r="F18" s="24"/>
      <c r="G18" s="25"/>
      <c r="H18" s="83" t="str">
        <f t="shared" si="0"/>
        <v/>
      </c>
      <c r="I18" s="26">
        <f t="shared" si="1"/>
        <v>-1</v>
      </c>
      <c r="J18" s="26">
        <f t="shared" si="2"/>
        <v>-1</v>
      </c>
      <c r="K18" s="27" t="str">
        <f t="shared" si="4"/>
        <v/>
      </c>
      <c r="L18" s="28" t="str">
        <f t="shared" si="5"/>
        <v/>
      </c>
      <c r="M18" s="23" t="str">
        <f t="shared" si="6"/>
        <v/>
      </c>
      <c r="N18" s="84"/>
    </row>
    <row r="19" spans="2:14" s="86" customFormat="1">
      <c r="B19" s="23">
        <f t="shared" si="3"/>
        <v>6</v>
      </c>
      <c r="C19" s="29">
        <f t="shared" si="7"/>
        <v>0.40138888888888891</v>
      </c>
      <c r="D19" s="24">
        <v>3</v>
      </c>
      <c r="E19" s="122">
        <v>2.13</v>
      </c>
      <c r="F19" s="24"/>
      <c r="G19" s="25"/>
      <c r="H19" s="83">
        <f t="shared" si="0"/>
        <v>0.35999999999999988</v>
      </c>
      <c r="I19" s="26">
        <f t="shared" si="1"/>
        <v>0.35999999999999988</v>
      </c>
      <c r="J19" s="26">
        <f t="shared" si="2"/>
        <v>-1</v>
      </c>
      <c r="K19" s="27">
        <f t="shared" si="4"/>
        <v>-0.3622072662562128</v>
      </c>
      <c r="L19" s="28" t="str">
        <f t="shared" si="5"/>
        <v/>
      </c>
      <c r="M19" s="23" t="str">
        <f t="shared" si="6"/>
        <v/>
      </c>
      <c r="N19" s="84"/>
    </row>
    <row r="20" spans="2:14" s="86" customFormat="1" ht="10">
      <c r="B20" s="23">
        <f t="shared" si="3"/>
        <v>7</v>
      </c>
      <c r="C20" s="29">
        <f t="shared" si="7"/>
        <v>0.40173611111111113</v>
      </c>
      <c r="D20" s="24">
        <v>3.5</v>
      </c>
      <c r="E20" s="30"/>
      <c r="F20" s="24"/>
      <c r="G20" s="25"/>
      <c r="H20" s="83" t="str">
        <f t="shared" si="0"/>
        <v/>
      </c>
      <c r="I20" s="26">
        <f t="shared" si="1"/>
        <v>-1</v>
      </c>
      <c r="J20" s="26">
        <f t="shared" si="2"/>
        <v>-1</v>
      </c>
      <c r="K20" s="27" t="str">
        <f t="shared" si="4"/>
        <v/>
      </c>
      <c r="L20" s="28" t="str">
        <f t="shared" si="5"/>
        <v/>
      </c>
      <c r="M20" s="23" t="str">
        <f t="shared" si="6"/>
        <v/>
      </c>
      <c r="N20" s="84"/>
    </row>
    <row r="21" spans="2:14" s="86" customFormat="1">
      <c r="B21" s="23">
        <f t="shared" si="3"/>
        <v>8</v>
      </c>
      <c r="C21" s="29">
        <f t="shared" si="7"/>
        <v>0.40208333333333335</v>
      </c>
      <c r="D21" s="24">
        <v>4</v>
      </c>
      <c r="E21" s="122">
        <v>2.13</v>
      </c>
      <c r="F21" s="24">
        <v>82.5</v>
      </c>
      <c r="G21" s="25"/>
      <c r="H21" s="83">
        <f t="shared" si="0"/>
        <v>0.35999999999999988</v>
      </c>
      <c r="I21" s="26">
        <f t="shared" si="1"/>
        <v>0.35999999999999988</v>
      </c>
      <c r="J21" s="26">
        <f t="shared" si="2"/>
        <v>-1</v>
      </c>
      <c r="K21" s="27">
        <f t="shared" si="4"/>
        <v>0.52421669742467447</v>
      </c>
      <c r="L21" s="28" t="str">
        <f t="shared" si="5"/>
        <v/>
      </c>
      <c r="M21" s="23" t="str">
        <f t="shared" si="6"/>
        <v/>
      </c>
      <c r="N21" s="84"/>
    </row>
    <row r="22" spans="2:14" s="86" customFormat="1" ht="10">
      <c r="B22" s="23">
        <f t="shared" si="3"/>
        <v>9</v>
      </c>
      <c r="C22" s="29">
        <f t="shared" si="7"/>
        <v>0.40243055555555557</v>
      </c>
      <c r="D22" s="24">
        <v>4.5</v>
      </c>
      <c r="E22" s="30"/>
      <c r="F22" s="24"/>
      <c r="G22" s="25"/>
      <c r="H22" s="83" t="str">
        <f t="shared" si="0"/>
        <v/>
      </c>
      <c r="I22" s="26">
        <f t="shared" si="1"/>
        <v>-1</v>
      </c>
      <c r="J22" s="26">
        <f t="shared" si="2"/>
        <v>-1</v>
      </c>
      <c r="K22" s="27" t="str">
        <f t="shared" si="4"/>
        <v/>
      </c>
      <c r="L22" s="28" t="str">
        <f t="shared" si="5"/>
        <v/>
      </c>
      <c r="M22" s="23" t="str">
        <f t="shared" si="6"/>
        <v/>
      </c>
      <c r="N22" s="84"/>
    </row>
    <row r="23" spans="2:14" s="86" customFormat="1">
      <c r="B23" s="23">
        <f t="shared" si="3"/>
        <v>10</v>
      </c>
      <c r="C23" s="29">
        <f t="shared" si="7"/>
        <v>0.40277777777777779</v>
      </c>
      <c r="D23" s="24">
        <v>5</v>
      </c>
      <c r="E23" s="122">
        <v>2.13</v>
      </c>
      <c r="F23" s="24"/>
      <c r="G23" s="25"/>
      <c r="H23" s="83">
        <f t="shared" si="0"/>
        <v>0.35999999999999988</v>
      </c>
      <c r="I23" s="26">
        <f t="shared" si="1"/>
        <v>0.35999999999999988</v>
      </c>
      <c r="J23" s="26">
        <f t="shared" si="2"/>
        <v>-1</v>
      </c>
      <c r="K23" s="27">
        <f t="shared" si="4"/>
        <v>1.2117805401765551</v>
      </c>
      <c r="L23" s="28" t="str">
        <f t="shared" si="5"/>
        <v/>
      </c>
      <c r="M23" s="23" t="str">
        <f t="shared" si="6"/>
        <v/>
      </c>
      <c r="N23" s="84"/>
    </row>
    <row r="24" spans="2:14" s="86" customFormat="1" ht="10">
      <c r="B24" s="23">
        <f t="shared" si="3"/>
        <v>11</v>
      </c>
      <c r="C24" s="29">
        <f t="shared" si="7"/>
        <v>0.40312500000000001</v>
      </c>
      <c r="D24" s="24">
        <v>5.5</v>
      </c>
      <c r="E24" s="30"/>
      <c r="F24" s="24"/>
      <c r="G24" s="25"/>
      <c r="H24" s="83" t="str">
        <f t="shared" si="0"/>
        <v/>
      </c>
      <c r="I24" s="26">
        <f t="shared" si="1"/>
        <v>-1</v>
      </c>
      <c r="J24" s="26">
        <f t="shared" si="2"/>
        <v>-1</v>
      </c>
      <c r="K24" s="27" t="str">
        <f t="shared" si="4"/>
        <v/>
      </c>
      <c r="L24" s="28" t="str">
        <f t="shared" si="5"/>
        <v/>
      </c>
      <c r="M24" s="23" t="str">
        <f t="shared" si="6"/>
        <v/>
      </c>
      <c r="N24" s="84"/>
    </row>
    <row r="25" spans="2:14" s="86" customFormat="1">
      <c r="B25" s="23">
        <f t="shared" si="3"/>
        <v>12</v>
      </c>
      <c r="C25" s="29">
        <f t="shared" si="7"/>
        <v>0.40347222222222223</v>
      </c>
      <c r="D25" s="24">
        <v>6</v>
      </c>
      <c r="E25" s="122">
        <v>2.14</v>
      </c>
      <c r="F25" s="24"/>
      <c r="G25" s="25"/>
      <c r="H25" s="83">
        <f t="shared" si="0"/>
        <v>0.37000000000000011</v>
      </c>
      <c r="I25" s="26">
        <f t="shared" si="1"/>
        <v>0.37000000000000011</v>
      </c>
      <c r="J25" s="26">
        <f t="shared" si="2"/>
        <v>-1</v>
      </c>
      <c r="K25" s="27">
        <f t="shared" si="4"/>
        <v>1.773561104604517</v>
      </c>
      <c r="L25" s="28" t="str">
        <f t="shared" si="5"/>
        <v/>
      </c>
      <c r="M25" s="23" t="str">
        <f t="shared" si="6"/>
        <v/>
      </c>
      <c r="N25" s="84"/>
    </row>
    <row r="26" spans="2:14" s="86" customFormat="1" ht="10">
      <c r="B26" s="23">
        <f t="shared" si="3"/>
        <v>13</v>
      </c>
      <c r="C26" s="29">
        <f t="shared" si="7"/>
        <v>0.40381944444444445</v>
      </c>
      <c r="D26" s="24">
        <v>6.5</v>
      </c>
      <c r="E26" s="30"/>
      <c r="F26" s="24"/>
      <c r="G26" s="25"/>
      <c r="H26" s="83" t="str">
        <f t="shared" si="0"/>
        <v/>
      </c>
      <c r="I26" s="26">
        <f t="shared" si="1"/>
        <v>-1</v>
      </c>
      <c r="J26" s="26">
        <f t="shared" si="2"/>
        <v>-1</v>
      </c>
      <c r="K26" s="27" t="str">
        <f t="shared" si="4"/>
        <v/>
      </c>
      <c r="L26" s="28" t="str">
        <f t="shared" si="5"/>
        <v/>
      </c>
      <c r="M26" s="23" t="str">
        <f t="shared" si="6"/>
        <v/>
      </c>
      <c r="N26" s="84"/>
    </row>
    <row r="27" spans="2:14" s="86" customFormat="1">
      <c r="B27" s="23">
        <f t="shared" si="3"/>
        <v>14</v>
      </c>
      <c r="C27" s="29">
        <f t="shared" si="7"/>
        <v>0.40416666666666667</v>
      </c>
      <c r="D27" s="24">
        <v>7</v>
      </c>
      <c r="E27" s="122">
        <v>2.14</v>
      </c>
      <c r="F27" s="24"/>
      <c r="G27" s="25"/>
      <c r="H27" s="83">
        <f t="shared" si="0"/>
        <v>0.37000000000000011</v>
      </c>
      <c r="I27" s="26">
        <f t="shared" si="1"/>
        <v>0.37000000000000011</v>
      </c>
      <c r="J27" s="26">
        <f t="shared" si="2"/>
        <v>-1</v>
      </c>
      <c r="K27" s="27">
        <f t="shared" si="4"/>
        <v>2.248539804014035</v>
      </c>
      <c r="L27" s="28" t="str">
        <f t="shared" si="5"/>
        <v/>
      </c>
      <c r="M27" s="23" t="str">
        <f t="shared" si="6"/>
        <v/>
      </c>
      <c r="N27" s="84"/>
    </row>
    <row r="28" spans="2:14" s="86" customFormat="1" ht="10">
      <c r="B28" s="23">
        <f t="shared" si="3"/>
        <v>15</v>
      </c>
      <c r="C28" s="29">
        <f t="shared" si="7"/>
        <v>0.4045138888888889</v>
      </c>
      <c r="D28" s="24">
        <v>7.5</v>
      </c>
      <c r="E28" s="30"/>
      <c r="F28" s="24"/>
      <c r="G28" s="25"/>
      <c r="H28" s="83" t="str">
        <f t="shared" si="0"/>
        <v/>
      </c>
      <c r="I28" s="26">
        <f t="shared" si="1"/>
        <v>-1</v>
      </c>
      <c r="J28" s="26">
        <f t="shared" si="2"/>
        <v>-1</v>
      </c>
      <c r="K28" s="27" t="str">
        <f t="shared" si="4"/>
        <v/>
      </c>
      <c r="L28" s="28" t="str">
        <f t="shared" si="5"/>
        <v/>
      </c>
      <c r="M28" s="23" t="str">
        <f t="shared" si="6"/>
        <v/>
      </c>
      <c r="N28" s="84"/>
    </row>
    <row r="29" spans="2:14" s="86" customFormat="1">
      <c r="B29" s="23">
        <f t="shared" si="3"/>
        <v>16</v>
      </c>
      <c r="C29" s="29">
        <f t="shared" si="7"/>
        <v>0.40486111111111112</v>
      </c>
      <c r="D29" s="24">
        <v>8</v>
      </c>
      <c r="E29" s="122">
        <v>2.14</v>
      </c>
      <c r="F29" s="24"/>
      <c r="G29" s="25"/>
      <c r="H29" s="83">
        <f t="shared" si="0"/>
        <v>0.37000000000000011</v>
      </c>
      <c r="I29" s="26">
        <f t="shared" si="1"/>
        <v>0.37000000000000011</v>
      </c>
      <c r="J29" s="26">
        <f t="shared" si="2"/>
        <v>-1</v>
      </c>
      <c r="K29" s="27">
        <f t="shared" si="4"/>
        <v>2.6599850682854038</v>
      </c>
      <c r="L29" s="28" t="str">
        <f t="shared" si="5"/>
        <v/>
      </c>
      <c r="M29" s="23" t="str">
        <f t="shared" si="6"/>
        <v/>
      </c>
      <c r="N29" s="84"/>
    </row>
    <row r="30" spans="2:14" s="86" customFormat="1" ht="10">
      <c r="B30" s="23">
        <f t="shared" si="3"/>
        <v>17</v>
      </c>
      <c r="C30" s="29">
        <f t="shared" si="7"/>
        <v>0.40520833333333334</v>
      </c>
      <c r="D30" s="24">
        <v>8.5</v>
      </c>
      <c r="E30" s="30"/>
      <c r="F30" s="24"/>
      <c r="G30" s="25"/>
      <c r="H30" s="83" t="str">
        <f t="shared" si="0"/>
        <v/>
      </c>
      <c r="I30" s="26">
        <f t="shared" si="1"/>
        <v>-1</v>
      </c>
      <c r="J30" s="26">
        <f t="shared" si="2"/>
        <v>-1</v>
      </c>
      <c r="K30" s="27" t="str">
        <f t="shared" si="4"/>
        <v/>
      </c>
      <c r="L30" s="28" t="str">
        <f t="shared" si="5"/>
        <v/>
      </c>
      <c r="M30" s="23" t="str">
        <f t="shared" si="6"/>
        <v/>
      </c>
      <c r="N30" s="84"/>
    </row>
    <row r="31" spans="2:14" s="86" customFormat="1">
      <c r="B31" s="23">
        <f t="shared" si="3"/>
        <v>18</v>
      </c>
      <c r="C31" s="29">
        <f t="shared" si="7"/>
        <v>0.40555555555555556</v>
      </c>
      <c r="D31" s="24">
        <v>9</v>
      </c>
      <c r="E31" s="122">
        <v>2.14</v>
      </c>
      <c r="F31" s="24"/>
      <c r="G31" s="25"/>
      <c r="H31" s="83">
        <f t="shared" si="0"/>
        <v>0.37000000000000011</v>
      </c>
      <c r="I31" s="26">
        <f t="shared" si="1"/>
        <v>0.37000000000000011</v>
      </c>
      <c r="J31" s="26">
        <f t="shared" si="2"/>
        <v>-1</v>
      </c>
      <c r="K31" s="27">
        <f t="shared" si="4"/>
        <v>3.0229055117843595</v>
      </c>
      <c r="L31" s="28" t="str">
        <f t="shared" si="5"/>
        <v/>
      </c>
      <c r="M31" s="23" t="str">
        <f t="shared" si="6"/>
        <v/>
      </c>
      <c r="N31" s="84"/>
    </row>
    <row r="32" spans="2:14" s="86" customFormat="1" ht="10">
      <c r="B32" s="23">
        <f t="shared" si="3"/>
        <v>19</v>
      </c>
      <c r="C32" s="29">
        <f t="shared" si="7"/>
        <v>0.40590277777777778</v>
      </c>
      <c r="D32" s="24">
        <v>9.5</v>
      </c>
      <c r="E32" s="30"/>
      <c r="F32" s="24"/>
      <c r="G32" s="25"/>
      <c r="H32" s="83" t="str">
        <f t="shared" si="0"/>
        <v/>
      </c>
      <c r="I32" s="26">
        <f t="shared" si="1"/>
        <v>-1</v>
      </c>
      <c r="J32" s="26">
        <f t="shared" si="2"/>
        <v>-1</v>
      </c>
      <c r="K32" s="27" t="str">
        <f t="shared" si="4"/>
        <v/>
      </c>
      <c r="L32" s="28" t="str">
        <f t="shared" si="5"/>
        <v/>
      </c>
      <c r="M32" s="23" t="str">
        <f t="shared" si="6"/>
        <v/>
      </c>
      <c r="N32" s="84"/>
    </row>
    <row r="33" spans="2:14" s="86" customFormat="1">
      <c r="B33" s="23">
        <f t="shared" si="3"/>
        <v>20</v>
      </c>
      <c r="C33" s="29">
        <f t="shared" si="7"/>
        <v>0.40625</v>
      </c>
      <c r="D33" s="24">
        <v>10</v>
      </c>
      <c r="E33" s="122">
        <v>2.14</v>
      </c>
      <c r="F33" s="24"/>
      <c r="G33" s="25"/>
      <c r="H33" s="83">
        <f t="shared" si="0"/>
        <v>0.37000000000000011</v>
      </c>
      <c r="I33" s="26">
        <f t="shared" si="1"/>
        <v>0.37000000000000011</v>
      </c>
      <c r="J33" s="26">
        <f t="shared" si="2"/>
        <v>-1</v>
      </c>
      <c r="K33" s="27">
        <f t="shared" si="4"/>
        <v>3.3475489110372854</v>
      </c>
      <c r="L33" s="28" t="str">
        <f t="shared" si="5"/>
        <v/>
      </c>
      <c r="M33" s="23" t="str">
        <f t="shared" si="6"/>
        <v/>
      </c>
      <c r="N33" s="84"/>
    </row>
    <row r="34" spans="2:14" s="86" customFormat="1" ht="10">
      <c r="B34" s="23">
        <f t="shared" si="3"/>
        <v>21</v>
      </c>
      <c r="C34" s="29">
        <f t="shared" si="7"/>
        <v>0.40763888888888894</v>
      </c>
      <c r="D34" s="24">
        <v>12</v>
      </c>
      <c r="E34" s="30">
        <v>2.14</v>
      </c>
      <c r="F34" s="24"/>
      <c r="G34" s="25"/>
      <c r="H34" s="83">
        <f t="shared" si="0"/>
        <v>0.37000000000000011</v>
      </c>
      <c r="I34" s="26">
        <f t="shared" si="1"/>
        <v>0.37000000000000011</v>
      </c>
      <c r="J34" s="26">
        <f t="shared" si="2"/>
        <v>-1</v>
      </c>
      <c r="K34" s="27">
        <f t="shared" si="4"/>
        <v>3.9093294754652472</v>
      </c>
      <c r="L34" s="28" t="str">
        <f t="shared" si="5"/>
        <v/>
      </c>
      <c r="M34" s="23" t="str">
        <f t="shared" si="6"/>
        <v/>
      </c>
      <c r="N34" s="84"/>
    </row>
    <row r="35" spans="2:14" s="86" customFormat="1">
      <c r="B35" s="23">
        <f t="shared" si="3"/>
        <v>22</v>
      </c>
      <c r="C35" s="29">
        <f t="shared" si="7"/>
        <v>0.40902777777777782</v>
      </c>
      <c r="D35" s="24">
        <v>14</v>
      </c>
      <c r="E35" s="122">
        <v>2.14</v>
      </c>
      <c r="F35" s="24"/>
      <c r="G35" s="25"/>
      <c r="H35" s="83">
        <f t="shared" si="0"/>
        <v>0.37000000000000011</v>
      </c>
      <c r="I35" s="26">
        <f t="shared" si="1"/>
        <v>0.37000000000000011</v>
      </c>
      <c r="J35" s="26">
        <f t="shared" si="2"/>
        <v>-1</v>
      </c>
      <c r="K35" s="27">
        <f t="shared" si="4"/>
        <v>4.3843081748747643</v>
      </c>
      <c r="L35" s="28" t="str">
        <f t="shared" si="5"/>
        <v/>
      </c>
      <c r="M35" s="23" t="str">
        <f t="shared" si="6"/>
        <v/>
      </c>
      <c r="N35" s="84"/>
    </row>
    <row r="36" spans="2:14" s="86" customFormat="1" ht="10">
      <c r="B36" s="23">
        <f t="shared" si="3"/>
        <v>23</v>
      </c>
      <c r="C36" s="29">
        <f t="shared" si="7"/>
        <v>0.41041666666666671</v>
      </c>
      <c r="D36" s="24">
        <v>16</v>
      </c>
      <c r="E36" s="30">
        <v>2.14</v>
      </c>
      <c r="F36" s="24">
        <v>82.5</v>
      </c>
      <c r="G36" s="25"/>
      <c r="H36" s="83">
        <f t="shared" si="0"/>
        <v>0.37000000000000011</v>
      </c>
      <c r="I36" s="26">
        <f t="shared" si="1"/>
        <v>0.37000000000000011</v>
      </c>
      <c r="J36" s="26">
        <f t="shared" si="2"/>
        <v>-1</v>
      </c>
      <c r="K36" s="27">
        <f t="shared" si="4"/>
        <v>4.7957534391461341</v>
      </c>
      <c r="L36" s="28" t="str">
        <f t="shared" si="5"/>
        <v/>
      </c>
      <c r="M36" s="23" t="str">
        <f t="shared" si="6"/>
        <v/>
      </c>
      <c r="N36" s="84"/>
    </row>
    <row r="37" spans="2:14" s="86" customFormat="1" ht="10">
      <c r="B37" s="23">
        <f t="shared" si="3"/>
        <v>24</v>
      </c>
      <c r="C37" s="29">
        <f t="shared" si="7"/>
        <v>0.41180555555555559</v>
      </c>
      <c r="D37" s="24">
        <v>18</v>
      </c>
      <c r="E37" s="30">
        <v>2.15</v>
      </c>
      <c r="F37" s="24"/>
      <c r="G37" s="25"/>
      <c r="H37" s="83">
        <f t="shared" si="0"/>
        <v>0.37999999999999989</v>
      </c>
      <c r="I37" s="26">
        <f t="shared" si="1"/>
        <v>0.37999999999999989</v>
      </c>
      <c r="J37" s="26">
        <f t="shared" si="2"/>
        <v>-1</v>
      </c>
      <c r="K37" s="27">
        <f t="shared" si="4"/>
        <v>5.158673882645088</v>
      </c>
      <c r="L37" s="28" t="str">
        <f t="shared" si="5"/>
        <v/>
      </c>
      <c r="M37" s="23" t="str">
        <f t="shared" si="6"/>
        <v/>
      </c>
      <c r="N37" s="84"/>
    </row>
    <row r="38" spans="2:14" s="86" customFormat="1">
      <c r="B38" s="23">
        <f t="shared" si="3"/>
        <v>25</v>
      </c>
      <c r="C38" s="29">
        <f t="shared" si="7"/>
        <v>0.41319444444444448</v>
      </c>
      <c r="D38" s="24">
        <v>20</v>
      </c>
      <c r="E38" s="122">
        <v>2.15</v>
      </c>
      <c r="F38" s="24"/>
      <c r="G38" s="25"/>
      <c r="H38" s="83">
        <f t="shared" si="0"/>
        <v>0.37999999999999989</v>
      </c>
      <c r="I38" s="26">
        <f t="shared" si="1"/>
        <v>0.37999999999999989</v>
      </c>
      <c r="J38" s="26">
        <f t="shared" si="2"/>
        <v>-1</v>
      </c>
      <c r="K38" s="27">
        <f>IF(E38&lt;&gt;"",slope*LN(D38)+intercept,"")</f>
        <v>5.4833172818980138</v>
      </c>
      <c r="L38" s="28" t="str">
        <f t="shared" si="5"/>
        <v/>
      </c>
      <c r="M38" s="23" t="str">
        <f t="shared" si="6"/>
        <v/>
      </c>
      <c r="N38" s="84"/>
    </row>
    <row r="39" spans="2:14" s="86" customFormat="1" ht="10">
      <c r="B39" s="23">
        <f t="shared" si="3"/>
        <v>26</v>
      </c>
      <c r="C39" s="29">
        <f t="shared" si="7"/>
        <v>0.41458333333333336</v>
      </c>
      <c r="D39" s="24">
        <v>22</v>
      </c>
      <c r="E39" s="30">
        <v>2.15</v>
      </c>
      <c r="F39" s="24"/>
      <c r="G39" s="25"/>
      <c r="H39" s="83">
        <f t="shared" si="0"/>
        <v>0.37999999999999989</v>
      </c>
      <c r="I39" s="26">
        <f t="shared" si="1"/>
        <v>0.37999999999999989</v>
      </c>
      <c r="J39" s="26">
        <f t="shared" si="2"/>
        <v>-1</v>
      </c>
      <c r="K39" s="27">
        <f>IF(E39&lt;&gt;"",slope*LN(D39)+intercept,"")</f>
        <v>5.7769929588050246</v>
      </c>
      <c r="L39" s="28" t="str">
        <f t="shared" si="5"/>
        <v/>
      </c>
      <c r="M39" s="23" t="str">
        <f t="shared" si="6"/>
        <v/>
      </c>
    </row>
    <row r="40" spans="2:14" s="86" customFormat="1" ht="10">
      <c r="B40" s="23">
        <f t="shared" ref="B40:B103" si="8">IF(D40="","",B39+1)</f>
        <v>27</v>
      </c>
      <c r="C40" s="29">
        <f t="shared" si="7"/>
        <v>0.41597222222222224</v>
      </c>
      <c r="D40" s="24">
        <v>24</v>
      </c>
      <c r="E40" s="30">
        <v>2.15</v>
      </c>
      <c r="F40" s="24"/>
      <c r="G40" s="25"/>
      <c r="H40" s="83">
        <f t="shared" ref="H40:H103" si="9">IF(E40&lt;&gt;"",ABS(E40-watertable),"")</f>
        <v>0.37999999999999989</v>
      </c>
      <c r="I40" s="26">
        <f t="shared" si="1"/>
        <v>0.37999999999999989</v>
      </c>
      <c r="J40" s="26">
        <f t="shared" si="2"/>
        <v>-1</v>
      </c>
      <c r="K40" s="27">
        <f t="shared" ref="K40:K103" si="10">IF(E40&lt;&gt;"",slope*LN(D40)+intercept,"")</f>
        <v>6.0450978463259766</v>
      </c>
      <c r="L40" s="28" t="str">
        <f t="shared" si="5"/>
        <v/>
      </c>
      <c r="M40" s="23" t="str">
        <f t="shared" si="6"/>
        <v/>
      </c>
    </row>
    <row r="41" spans="2:14" s="86" customFormat="1" ht="10">
      <c r="B41" s="23">
        <f t="shared" si="8"/>
        <v>28</v>
      </c>
      <c r="C41" s="29">
        <f t="shared" si="7"/>
        <v>0.41736111111111113</v>
      </c>
      <c r="D41" s="24">
        <v>26</v>
      </c>
      <c r="E41" s="30">
        <v>2.15</v>
      </c>
      <c r="F41" s="24"/>
      <c r="G41" s="25"/>
      <c r="H41" s="83">
        <f t="shared" si="9"/>
        <v>0.37999999999999989</v>
      </c>
      <c r="I41" s="26">
        <f t="shared" si="1"/>
        <v>0.37999999999999989</v>
      </c>
      <c r="J41" s="26">
        <f t="shared" si="2"/>
        <v>-1</v>
      </c>
      <c r="K41" s="27">
        <f t="shared" si="10"/>
        <v>6.2917304348464835</v>
      </c>
      <c r="L41" s="28" t="str">
        <f t="shared" si="5"/>
        <v/>
      </c>
      <c r="M41" s="23" t="str">
        <f t="shared" si="6"/>
        <v/>
      </c>
    </row>
    <row r="42" spans="2:14" s="86" customFormat="1" ht="10">
      <c r="B42" s="23">
        <f t="shared" si="8"/>
        <v>29</v>
      </c>
      <c r="C42" s="29">
        <f t="shared" si="7"/>
        <v>0.41875000000000001</v>
      </c>
      <c r="D42" s="24">
        <v>28</v>
      </c>
      <c r="E42" s="30">
        <v>2.16</v>
      </c>
      <c r="F42" s="24"/>
      <c r="G42" s="25"/>
      <c r="H42" s="83">
        <f t="shared" si="9"/>
        <v>0.39000000000000012</v>
      </c>
      <c r="I42" s="26">
        <f t="shared" si="1"/>
        <v>0.39000000000000012</v>
      </c>
      <c r="J42" s="26">
        <f t="shared" si="2"/>
        <v>-1</v>
      </c>
      <c r="K42" s="27">
        <f t="shared" si="10"/>
        <v>6.5200765457354954</v>
      </c>
      <c r="L42" s="28" t="str">
        <f t="shared" si="5"/>
        <v/>
      </c>
      <c r="M42" s="23" t="str">
        <f t="shared" si="6"/>
        <v/>
      </c>
    </row>
    <row r="43" spans="2:14" s="86" customFormat="1">
      <c r="B43" s="23">
        <f t="shared" si="8"/>
        <v>30</v>
      </c>
      <c r="C43" s="29">
        <f t="shared" si="7"/>
        <v>0.4201388888888889</v>
      </c>
      <c r="D43" s="24">
        <v>30</v>
      </c>
      <c r="E43" s="122">
        <v>2.16</v>
      </c>
      <c r="F43" s="24"/>
      <c r="G43" s="25"/>
      <c r="H43" s="83">
        <f t="shared" si="9"/>
        <v>0.39000000000000012</v>
      </c>
      <c r="I43" s="26">
        <f t="shared" si="1"/>
        <v>0.39000000000000012</v>
      </c>
      <c r="J43" s="26">
        <f t="shared" si="2"/>
        <v>-1</v>
      </c>
      <c r="K43" s="27">
        <f t="shared" si="10"/>
        <v>6.7326616890778581</v>
      </c>
      <c r="L43" s="28" t="str">
        <f t="shared" si="5"/>
        <v/>
      </c>
      <c r="M43" s="23" t="str">
        <f t="shared" si="6"/>
        <v/>
      </c>
    </row>
    <row r="44" spans="2:14" s="86" customFormat="1" ht="10">
      <c r="B44" s="23">
        <f t="shared" si="8"/>
        <v>31</v>
      </c>
      <c r="C44" s="29">
        <f t="shared" si="7"/>
        <v>0.42361111111111116</v>
      </c>
      <c r="D44" s="24">
        <v>35</v>
      </c>
      <c r="E44" s="30">
        <v>2.16</v>
      </c>
      <c r="F44" s="24"/>
      <c r="G44" s="25"/>
      <c r="H44" s="83">
        <f t="shared" si="9"/>
        <v>0.39000000000000012</v>
      </c>
      <c r="I44" s="26">
        <f t="shared" si="1"/>
        <v>0.39000000000000012</v>
      </c>
      <c r="J44" s="26">
        <f t="shared" si="2"/>
        <v>-1</v>
      </c>
      <c r="K44" s="27">
        <f t="shared" si="10"/>
        <v>7.2076403884873752</v>
      </c>
      <c r="L44" s="28" t="str">
        <f t="shared" si="5"/>
        <v/>
      </c>
      <c r="M44" s="23" t="str">
        <f t="shared" si="6"/>
        <v/>
      </c>
    </row>
    <row r="45" spans="2:14" s="86" customFormat="1">
      <c r="B45" s="23">
        <f t="shared" si="8"/>
        <v>32</v>
      </c>
      <c r="C45" s="29">
        <f t="shared" si="7"/>
        <v>0.42708333333333337</v>
      </c>
      <c r="D45" s="24">
        <v>40</v>
      </c>
      <c r="E45" s="122">
        <v>2.16</v>
      </c>
      <c r="F45" s="24"/>
      <c r="G45" s="25"/>
      <c r="H45" s="83">
        <f t="shared" si="9"/>
        <v>0.39000000000000012</v>
      </c>
      <c r="I45" s="26">
        <f t="shared" si="1"/>
        <v>-1</v>
      </c>
      <c r="J45" s="26">
        <f t="shared" si="2"/>
        <v>0.39000000000000012</v>
      </c>
      <c r="K45" s="27">
        <f t="shared" si="10"/>
        <v>7.6190856527587449</v>
      </c>
      <c r="L45" s="28">
        <f t="shared" si="5"/>
        <v>1853.6117058355749</v>
      </c>
      <c r="M45" s="23" t="str">
        <f t="shared" si="6"/>
        <v>yes</v>
      </c>
    </row>
    <row r="46" spans="2:14" s="86" customFormat="1" ht="10">
      <c r="B46" s="23">
        <f t="shared" si="8"/>
        <v>33</v>
      </c>
      <c r="C46" s="29">
        <f t="shared" si="7"/>
        <v>0.43055555555555558</v>
      </c>
      <c r="D46" s="24">
        <v>45</v>
      </c>
      <c r="E46" s="30">
        <v>2.17</v>
      </c>
      <c r="F46" s="24"/>
      <c r="G46" s="25"/>
      <c r="H46" s="83">
        <f t="shared" si="9"/>
        <v>0.39999999999999991</v>
      </c>
      <c r="I46" s="26">
        <f t="shared" si="1"/>
        <v>-1</v>
      </c>
      <c r="J46" s="26">
        <f t="shared" si="2"/>
        <v>0.39999999999999991</v>
      </c>
      <c r="K46" s="27">
        <f t="shared" si="10"/>
        <v>7.9820060962576989</v>
      </c>
      <c r="L46" s="28">
        <f t="shared" si="5"/>
        <v>1895.501524064425</v>
      </c>
      <c r="M46" s="23" t="str">
        <f t="shared" si="6"/>
        <v>yes</v>
      </c>
    </row>
    <row r="47" spans="2:14" s="86" customFormat="1">
      <c r="B47" s="23">
        <f t="shared" si="8"/>
        <v>34</v>
      </c>
      <c r="C47" s="29">
        <f t="shared" si="7"/>
        <v>0.43402777777777779</v>
      </c>
      <c r="D47" s="24">
        <v>50</v>
      </c>
      <c r="E47" s="122">
        <v>2.17</v>
      </c>
      <c r="F47" s="24"/>
      <c r="G47" s="25"/>
      <c r="H47" s="83">
        <f t="shared" si="9"/>
        <v>0.39999999999999991</v>
      </c>
      <c r="I47" s="26">
        <f t="shared" si="1"/>
        <v>-1</v>
      </c>
      <c r="J47" s="26">
        <f t="shared" si="2"/>
        <v>0.39999999999999991</v>
      </c>
      <c r="K47" s="27">
        <f t="shared" si="10"/>
        <v>8.3066494955106247</v>
      </c>
      <c r="L47" s="28">
        <f t="shared" si="5"/>
        <v>1976.6623738776566</v>
      </c>
      <c r="M47" s="23" t="str">
        <f t="shared" si="6"/>
        <v>yes</v>
      </c>
    </row>
    <row r="48" spans="2:14" s="86" customFormat="1" ht="10">
      <c r="B48" s="23">
        <f t="shared" si="8"/>
        <v>35</v>
      </c>
      <c r="C48" s="29">
        <f t="shared" si="7"/>
        <v>0.4375</v>
      </c>
      <c r="D48" s="24">
        <v>55</v>
      </c>
      <c r="E48" s="30">
        <v>2.1800000000000002</v>
      </c>
      <c r="F48" s="24"/>
      <c r="G48" s="25"/>
      <c r="H48" s="83">
        <f t="shared" si="9"/>
        <v>0.41000000000000014</v>
      </c>
      <c r="I48" s="26">
        <f t="shared" si="1"/>
        <v>-1</v>
      </c>
      <c r="J48" s="26">
        <f t="shared" si="2"/>
        <v>0.41000000000000014</v>
      </c>
      <c r="K48" s="27">
        <f t="shared" si="10"/>
        <v>8.6003251724176337</v>
      </c>
      <c r="L48" s="28">
        <f t="shared" si="5"/>
        <v>1997.6402859555196</v>
      </c>
      <c r="M48" s="23" t="str">
        <f t="shared" si="6"/>
        <v>yes</v>
      </c>
    </row>
    <row r="49" spans="2:13" s="86" customFormat="1">
      <c r="B49" s="23">
        <f t="shared" si="8"/>
        <v>36</v>
      </c>
      <c r="C49" s="29">
        <f t="shared" si="7"/>
        <v>0.44097222222222227</v>
      </c>
      <c r="D49" s="24">
        <v>60</v>
      </c>
      <c r="E49" s="122">
        <v>2.1800000000000002</v>
      </c>
      <c r="F49" s="24"/>
      <c r="G49" s="25" t="s">
        <v>117</v>
      </c>
      <c r="H49" s="83">
        <f t="shared" si="9"/>
        <v>0.41000000000000014</v>
      </c>
      <c r="I49" s="26">
        <f t="shared" si="1"/>
        <v>-1</v>
      </c>
      <c r="J49" s="26">
        <f t="shared" si="2"/>
        <v>0.41000000000000014</v>
      </c>
      <c r="K49" s="27">
        <f t="shared" si="10"/>
        <v>8.8684300599385857</v>
      </c>
      <c r="L49" s="28">
        <f t="shared" si="5"/>
        <v>2063.0317219362396</v>
      </c>
      <c r="M49" s="23" t="str">
        <f t="shared" si="6"/>
        <v>yes</v>
      </c>
    </row>
    <row r="50" spans="2:13" s="86" customFormat="1" ht="10">
      <c r="B50" s="23">
        <f t="shared" si="8"/>
        <v>37</v>
      </c>
      <c r="C50" s="29">
        <f t="shared" si="7"/>
        <v>0.4513888888888889</v>
      </c>
      <c r="D50" s="24">
        <v>75</v>
      </c>
      <c r="E50" s="30">
        <v>2.19</v>
      </c>
      <c r="F50" s="24"/>
      <c r="G50" s="25"/>
      <c r="H50" s="83">
        <f t="shared" si="9"/>
        <v>0.41999999999999993</v>
      </c>
      <c r="I50" s="26">
        <f t="shared" si="1"/>
        <v>-1</v>
      </c>
      <c r="J50" s="26">
        <f t="shared" si="2"/>
        <v>0.41999999999999993</v>
      </c>
      <c r="K50" s="27">
        <f t="shared" si="10"/>
        <v>9.5559939026904672</v>
      </c>
      <c r="L50" s="28">
        <f t="shared" si="5"/>
        <v>2175.2366434977307</v>
      </c>
      <c r="M50" s="23" t="str">
        <f t="shared" si="6"/>
        <v>yes</v>
      </c>
    </row>
    <row r="51" spans="2:13" s="86" customFormat="1">
      <c r="B51" s="23">
        <f t="shared" si="8"/>
        <v>38</v>
      </c>
      <c r="C51" s="29">
        <f t="shared" si="7"/>
        <v>0.46180555555555558</v>
      </c>
      <c r="D51" s="24">
        <v>90</v>
      </c>
      <c r="E51" s="122">
        <v>2.2000000000000002</v>
      </c>
      <c r="F51" s="24"/>
      <c r="G51" s="25"/>
      <c r="H51" s="83">
        <f t="shared" si="9"/>
        <v>0.43000000000000016</v>
      </c>
      <c r="I51" s="26">
        <f t="shared" si="1"/>
        <v>-1</v>
      </c>
      <c r="J51" s="26">
        <f t="shared" si="2"/>
        <v>0.43000000000000016</v>
      </c>
      <c r="K51" s="27">
        <f t="shared" si="10"/>
        <v>10.11777446711843</v>
      </c>
      <c r="L51" s="28">
        <f t="shared" si="5"/>
        <v>2252.9708063066109</v>
      </c>
      <c r="M51" s="23" t="str">
        <f t="shared" si="6"/>
        <v>yes</v>
      </c>
    </row>
    <row r="52" spans="2:13" s="86" customFormat="1" ht="10">
      <c r="B52" s="23">
        <f t="shared" si="8"/>
        <v>39</v>
      </c>
      <c r="C52" s="29">
        <f t="shared" si="7"/>
        <v>0.47222222222222227</v>
      </c>
      <c r="D52" s="24">
        <v>105</v>
      </c>
      <c r="E52" s="30">
        <v>2.21</v>
      </c>
      <c r="F52" s="24"/>
      <c r="G52" s="25"/>
      <c r="H52" s="83">
        <f t="shared" si="9"/>
        <v>0.43999999999999995</v>
      </c>
      <c r="I52" s="26">
        <f t="shared" si="1"/>
        <v>-1</v>
      </c>
      <c r="J52" s="26">
        <f t="shared" si="2"/>
        <v>0.43999999999999995</v>
      </c>
      <c r="K52" s="27">
        <f t="shared" si="10"/>
        <v>10.592753166527947</v>
      </c>
      <c r="L52" s="28">
        <f t="shared" si="5"/>
        <v>2307.4439014836248</v>
      </c>
      <c r="M52" s="23" t="str">
        <f t="shared" si="6"/>
        <v>yes</v>
      </c>
    </row>
    <row r="53" spans="2:13" s="86" customFormat="1">
      <c r="B53" s="23">
        <f t="shared" si="8"/>
        <v>40</v>
      </c>
      <c r="C53" s="29">
        <f t="shared" si="7"/>
        <v>0.4826388888888889</v>
      </c>
      <c r="D53" s="24">
        <v>120</v>
      </c>
      <c r="E53" s="122">
        <v>2.23</v>
      </c>
      <c r="F53" s="24"/>
      <c r="G53" s="25" t="s">
        <v>117</v>
      </c>
      <c r="H53" s="83">
        <f t="shared" si="9"/>
        <v>0.45999999999999996</v>
      </c>
      <c r="I53" s="26">
        <f t="shared" si="1"/>
        <v>-1</v>
      </c>
      <c r="J53" s="26">
        <f t="shared" si="2"/>
        <v>0.45999999999999996</v>
      </c>
      <c r="K53" s="27">
        <f t="shared" si="10"/>
        <v>11.004198430799317</v>
      </c>
      <c r="L53" s="28">
        <f t="shared" si="5"/>
        <v>2292.2170501737646</v>
      </c>
      <c r="M53" s="23" t="str">
        <f t="shared" si="6"/>
        <v>yes</v>
      </c>
    </row>
    <row r="54" spans="2:13" s="86" customFormat="1" ht="10">
      <c r="B54" s="23">
        <f t="shared" si="8"/>
        <v>41</v>
      </c>
      <c r="C54" s="29">
        <f t="shared" si="7"/>
        <v>0.49305555555555558</v>
      </c>
      <c r="D54" s="24">
        <v>135</v>
      </c>
      <c r="E54" s="30">
        <v>2.2400000000000002</v>
      </c>
      <c r="F54" s="24"/>
      <c r="G54" s="25"/>
      <c r="H54" s="83">
        <f t="shared" si="9"/>
        <v>0.4700000000000002</v>
      </c>
      <c r="I54" s="26">
        <f t="shared" si="1"/>
        <v>-1</v>
      </c>
      <c r="J54" s="26">
        <f t="shared" si="2"/>
        <v>0.4700000000000002</v>
      </c>
      <c r="K54" s="27">
        <f t="shared" si="10"/>
        <v>11.367118874298273</v>
      </c>
      <c r="L54" s="28">
        <f t="shared" si="5"/>
        <v>2318.5359307017588</v>
      </c>
      <c r="M54" s="23" t="str">
        <f t="shared" si="6"/>
        <v>yes</v>
      </c>
    </row>
    <row r="55" spans="2:13" s="86" customFormat="1" ht="10">
      <c r="B55" s="23">
        <f t="shared" si="8"/>
        <v>42</v>
      </c>
      <c r="C55" s="29">
        <f t="shared" si="7"/>
        <v>0.50347222222222221</v>
      </c>
      <c r="D55" s="24">
        <v>150</v>
      </c>
      <c r="E55" s="30">
        <v>2.2400000000000002</v>
      </c>
      <c r="F55" s="24"/>
      <c r="G55" s="25" t="s">
        <v>117</v>
      </c>
      <c r="H55" s="83">
        <f t="shared" si="9"/>
        <v>0.4700000000000002</v>
      </c>
      <c r="I55" s="26">
        <f t="shared" si="1"/>
        <v>-1</v>
      </c>
      <c r="J55" s="26">
        <f t="shared" si="2"/>
        <v>0.4700000000000002</v>
      </c>
      <c r="K55" s="27">
        <f t="shared" si="10"/>
        <v>11.691762273551197</v>
      </c>
      <c r="L55" s="28">
        <f t="shared" si="5"/>
        <v>2387.6089943725942</v>
      </c>
      <c r="M55" s="23" t="str">
        <f t="shared" si="6"/>
        <v>yes</v>
      </c>
    </row>
    <row r="56" spans="2:13" s="86" customFormat="1">
      <c r="B56" s="23">
        <f t="shared" si="8"/>
        <v>43</v>
      </c>
      <c r="C56" s="29">
        <f t="shared" si="7"/>
        <v>0.51388888888888895</v>
      </c>
      <c r="D56" s="24">
        <v>165</v>
      </c>
      <c r="E56" s="122">
        <v>2.25</v>
      </c>
      <c r="F56" s="24"/>
      <c r="G56" s="25" t="s">
        <v>117</v>
      </c>
      <c r="H56" s="83">
        <f t="shared" si="9"/>
        <v>0.48</v>
      </c>
      <c r="I56" s="26">
        <f t="shared" si="1"/>
        <v>-1</v>
      </c>
      <c r="J56" s="26">
        <f t="shared" si="2"/>
        <v>0.48</v>
      </c>
      <c r="K56" s="27">
        <f t="shared" si="10"/>
        <v>11.985437950458204</v>
      </c>
      <c r="L56" s="28">
        <f t="shared" si="5"/>
        <v>2396.9662396787926</v>
      </c>
      <c r="M56" s="23" t="str">
        <f t="shared" si="6"/>
        <v>yes</v>
      </c>
    </row>
    <row r="57" spans="2:13" s="86" customFormat="1" ht="10">
      <c r="B57" s="23">
        <f t="shared" si="8"/>
        <v>44</v>
      </c>
      <c r="C57" s="29">
        <f t="shared" si="7"/>
        <v>0.52430555555555558</v>
      </c>
      <c r="D57" s="24">
        <v>180</v>
      </c>
      <c r="E57" s="30">
        <v>2.2599999999999998</v>
      </c>
      <c r="F57" s="24"/>
      <c r="G57" s="25" t="s">
        <v>117</v>
      </c>
      <c r="H57" s="83">
        <f t="shared" si="9"/>
        <v>0.48999999999999977</v>
      </c>
      <c r="I57" s="26">
        <f t="shared" si="1"/>
        <v>-1</v>
      </c>
      <c r="J57" s="26">
        <f t="shared" si="2"/>
        <v>0.48999999999999977</v>
      </c>
      <c r="K57" s="27">
        <f t="shared" si="10"/>
        <v>12.253542837979161</v>
      </c>
      <c r="L57" s="28">
        <f t="shared" si="5"/>
        <v>2400.7230281590137</v>
      </c>
      <c r="M57" s="23" t="str">
        <f t="shared" si="6"/>
        <v>yes</v>
      </c>
    </row>
    <row r="58" spans="2:13" s="86" customFormat="1">
      <c r="B58" s="23">
        <f t="shared" si="8"/>
        <v>45</v>
      </c>
      <c r="C58" s="29">
        <f t="shared" si="7"/>
        <v>0.53472222222222221</v>
      </c>
      <c r="D58" s="24">
        <v>195</v>
      </c>
      <c r="E58" s="122">
        <v>2.27</v>
      </c>
      <c r="F58" s="24"/>
      <c r="G58" s="25" t="s">
        <v>117</v>
      </c>
      <c r="H58" s="83">
        <f t="shared" si="9"/>
        <v>0.5</v>
      </c>
      <c r="I58" s="26">
        <f t="shared" si="1"/>
        <v>-1</v>
      </c>
      <c r="J58" s="26">
        <f t="shared" si="2"/>
        <v>0.5</v>
      </c>
      <c r="K58" s="27">
        <f t="shared" si="10"/>
        <v>12.500175426499666</v>
      </c>
      <c r="L58" s="28">
        <f t="shared" si="5"/>
        <v>2400.0350852999331</v>
      </c>
      <c r="M58" s="23" t="str">
        <f t="shared" si="6"/>
        <v>yes</v>
      </c>
    </row>
    <row r="59" spans="2:13" s="86" customFormat="1" ht="10">
      <c r="B59" s="23">
        <f t="shared" si="8"/>
        <v>46</v>
      </c>
      <c r="C59" s="29">
        <f t="shared" si="7"/>
        <v>0.54513888888888895</v>
      </c>
      <c r="D59" s="24">
        <v>210</v>
      </c>
      <c r="E59" s="30">
        <v>2.2799999999999998</v>
      </c>
      <c r="F59" s="24"/>
      <c r="G59" s="25" t="s">
        <v>117</v>
      </c>
      <c r="H59" s="83">
        <f t="shared" si="9"/>
        <v>0.50999999999999979</v>
      </c>
      <c r="I59" s="26">
        <f t="shared" si="1"/>
        <v>-1</v>
      </c>
      <c r="J59" s="26">
        <f t="shared" si="2"/>
        <v>0.50999999999999979</v>
      </c>
      <c r="K59" s="27">
        <f t="shared" si="10"/>
        <v>12.728521537388676</v>
      </c>
      <c r="L59" s="28">
        <f t="shared" si="5"/>
        <v>2395.7885367428789</v>
      </c>
      <c r="M59" s="23" t="str">
        <f t="shared" si="6"/>
        <v>yes</v>
      </c>
    </row>
    <row r="60" spans="2:13" s="86" customFormat="1">
      <c r="B60" s="23">
        <f t="shared" si="8"/>
        <v>47</v>
      </c>
      <c r="C60" s="29">
        <f t="shared" si="7"/>
        <v>0.55555555555555558</v>
      </c>
      <c r="D60" s="24">
        <v>225</v>
      </c>
      <c r="E60" s="122">
        <v>2.2799999999999998</v>
      </c>
      <c r="F60" s="24">
        <v>82.5</v>
      </c>
      <c r="G60" s="25" t="s">
        <v>117</v>
      </c>
      <c r="H60" s="83">
        <f t="shared" si="9"/>
        <v>0.50999999999999979</v>
      </c>
      <c r="I60" s="26">
        <f t="shared" si="1"/>
        <v>-1</v>
      </c>
      <c r="J60" s="26">
        <f t="shared" si="2"/>
        <v>0.50999999999999979</v>
      </c>
      <c r="K60" s="27">
        <f t="shared" si="10"/>
        <v>12.941106680731039</v>
      </c>
      <c r="L60" s="28">
        <f t="shared" si="5"/>
        <v>2437.4718981825577</v>
      </c>
      <c r="M60" s="23" t="str">
        <f t="shared" si="6"/>
        <v>yes</v>
      </c>
    </row>
    <row r="61" spans="2:13" s="86" customFormat="1" ht="10">
      <c r="B61" s="23">
        <f t="shared" si="8"/>
        <v>48</v>
      </c>
      <c r="C61" s="29">
        <f t="shared" si="7"/>
        <v>0.56597222222222221</v>
      </c>
      <c r="D61" s="24">
        <v>240</v>
      </c>
      <c r="E61" s="30">
        <v>2.29</v>
      </c>
      <c r="F61" s="24"/>
      <c r="G61" s="25" t="s">
        <v>118</v>
      </c>
      <c r="H61" s="83">
        <f t="shared" si="9"/>
        <v>0.52</v>
      </c>
      <c r="I61" s="26">
        <f t="shared" si="1"/>
        <v>-1</v>
      </c>
      <c r="J61" s="26">
        <f t="shared" si="2"/>
        <v>0.52</v>
      </c>
      <c r="K61" s="27">
        <f t="shared" si="10"/>
        <v>13.139966801660048</v>
      </c>
      <c r="L61" s="28">
        <f t="shared" si="5"/>
        <v>2426.9166926269327</v>
      </c>
      <c r="M61" s="23" t="str">
        <f t="shared" si="6"/>
        <v>yes</v>
      </c>
    </row>
    <row r="62" spans="2:13" s="86" customFormat="1">
      <c r="B62" s="23">
        <f t="shared" si="8"/>
        <v>49</v>
      </c>
      <c r="C62" s="29">
        <f t="shared" si="7"/>
        <v>0.56666666666666665</v>
      </c>
      <c r="D62" s="24">
        <v>241</v>
      </c>
      <c r="E62" s="122">
        <v>2.11</v>
      </c>
      <c r="F62" s="24"/>
      <c r="G62" s="25" t="s">
        <v>117</v>
      </c>
      <c r="H62" s="83">
        <f t="shared" si="9"/>
        <v>0.33999999999999986</v>
      </c>
      <c r="I62" s="26">
        <f t="shared" si="1"/>
        <v>-1</v>
      </c>
      <c r="J62" s="26">
        <f t="shared" si="2"/>
        <v>0.33999999999999986</v>
      </c>
      <c r="K62" s="27">
        <f t="shared" si="10"/>
        <v>13.152778722144323</v>
      </c>
      <c r="L62" s="28">
        <f t="shared" si="5"/>
        <v>3768.4643300424495</v>
      </c>
      <c r="M62" s="23" t="str">
        <f t="shared" si="6"/>
        <v>yes</v>
      </c>
    </row>
    <row r="63" spans="2:13" s="86" customFormat="1" ht="10">
      <c r="B63" s="23">
        <f t="shared" si="8"/>
        <v>50</v>
      </c>
      <c r="C63" s="29">
        <f t="shared" si="7"/>
        <v>0.5673611111111112</v>
      </c>
      <c r="D63" s="24">
        <v>242</v>
      </c>
      <c r="E63" s="30">
        <v>2.08</v>
      </c>
      <c r="F63" s="24"/>
      <c r="G63" s="25" t="s">
        <v>117</v>
      </c>
      <c r="H63" s="83">
        <f t="shared" si="9"/>
        <v>0.31000000000000005</v>
      </c>
      <c r="I63" s="26">
        <f t="shared" si="1"/>
        <v>-1</v>
      </c>
      <c r="J63" s="26">
        <f t="shared" si="2"/>
        <v>0.31000000000000005</v>
      </c>
      <c r="K63" s="27">
        <f t="shared" si="10"/>
        <v>13.165537591046103</v>
      </c>
      <c r="L63" s="28">
        <f t="shared" si="5"/>
        <v>4146.9476100148713</v>
      </c>
      <c r="M63" s="23" t="str">
        <f t="shared" si="6"/>
        <v>yes</v>
      </c>
    </row>
    <row r="64" spans="2:13" s="86" customFormat="1" ht="10">
      <c r="B64" s="23">
        <f t="shared" si="8"/>
        <v>51</v>
      </c>
      <c r="C64" s="29">
        <f t="shared" si="7"/>
        <v>0.56805555555555554</v>
      </c>
      <c r="D64" s="24">
        <v>243</v>
      </c>
      <c r="E64" s="30">
        <v>1.99</v>
      </c>
      <c r="F64" s="24"/>
      <c r="G64" s="25" t="s">
        <v>117</v>
      </c>
      <c r="H64" s="83">
        <f t="shared" si="9"/>
        <v>0.21999999999999997</v>
      </c>
      <c r="I64" s="26">
        <f t="shared" si="1"/>
        <v>-1</v>
      </c>
      <c r="J64" s="26">
        <f t="shared" si="2"/>
        <v>0.21999999999999997</v>
      </c>
      <c r="K64" s="27">
        <f t="shared" si="10"/>
        <v>13.178243845906074</v>
      </c>
      <c r="L64" s="28">
        <f t="shared" si="5"/>
        <v>5890.1108390482159</v>
      </c>
      <c r="M64" s="23" t="str">
        <f t="shared" si="6"/>
        <v>yes</v>
      </c>
    </row>
    <row r="65" spans="2:13" s="86" customFormat="1">
      <c r="B65" s="23">
        <f t="shared" si="8"/>
        <v>52</v>
      </c>
      <c r="C65" s="29">
        <f t="shared" si="7"/>
        <v>0.56875000000000009</v>
      </c>
      <c r="D65" s="24">
        <v>244</v>
      </c>
      <c r="E65" s="122">
        <v>1.96</v>
      </c>
      <c r="F65" s="24"/>
      <c r="G65" s="25" t="s">
        <v>117</v>
      </c>
      <c r="H65" s="83">
        <f t="shared" si="9"/>
        <v>0.18999999999999995</v>
      </c>
      <c r="I65" s="26">
        <f t="shared" si="1"/>
        <v>-1</v>
      </c>
      <c r="J65" s="26">
        <f t="shared" si="2"/>
        <v>0.18999999999999995</v>
      </c>
      <c r="K65" s="27">
        <f t="shared" si="10"/>
        <v>13.190897918874263</v>
      </c>
      <c r="L65" s="28">
        <f t="shared" si="5"/>
        <v>6842.5778520390877</v>
      </c>
      <c r="M65" s="23" t="str">
        <f t="shared" si="6"/>
        <v>yes</v>
      </c>
    </row>
    <row r="66" spans="2:13" s="86" customFormat="1" ht="10">
      <c r="B66" s="23">
        <f t="shared" si="8"/>
        <v>53</v>
      </c>
      <c r="C66" s="29">
        <f t="shared" si="7"/>
        <v>0.56944444444444442</v>
      </c>
      <c r="D66" s="24">
        <v>245</v>
      </c>
      <c r="E66" s="30">
        <v>1.8</v>
      </c>
      <c r="F66" s="24"/>
      <c r="G66" s="25" t="s">
        <v>117</v>
      </c>
      <c r="H66" s="83">
        <f t="shared" si="9"/>
        <v>3.0000000000000027E-2</v>
      </c>
      <c r="I66" s="26">
        <f t="shared" si="1"/>
        <v>-1</v>
      </c>
      <c r="J66" s="26">
        <f t="shared" si="2"/>
        <v>3.0000000000000027E-2</v>
      </c>
      <c r="K66" s="27">
        <f t="shared" si="10"/>
        <v>13.203500236798199</v>
      </c>
      <c r="L66" s="28">
        <f t="shared" si="5"/>
        <v>43911.667455993964</v>
      </c>
      <c r="M66" s="23" t="str">
        <f t="shared" si="6"/>
        <v>yes</v>
      </c>
    </row>
    <row r="67" spans="2:13" s="86" customFormat="1" ht="10">
      <c r="B67" s="23">
        <f t="shared" si="8"/>
        <v>54</v>
      </c>
      <c r="C67" s="29">
        <f t="shared" si="7"/>
        <v>0.57013888888888897</v>
      </c>
      <c r="D67" s="24">
        <v>246</v>
      </c>
      <c r="E67" s="30">
        <v>1.78</v>
      </c>
      <c r="F67" s="24"/>
      <c r="G67" s="25" t="s">
        <v>117</v>
      </c>
      <c r="H67" s="83">
        <f t="shared" si="9"/>
        <v>1.0000000000000009E-2</v>
      </c>
      <c r="I67" s="26">
        <f t="shared" si="1"/>
        <v>-1</v>
      </c>
      <c r="J67" s="26">
        <f t="shared" si="2"/>
        <v>1.0000000000000009E-2</v>
      </c>
      <c r="K67" s="27">
        <f t="shared" si="10"/>
        <v>13.216051221309318</v>
      </c>
      <c r="L67" s="28">
        <f t="shared" si="5"/>
        <v>132060.51221309305</v>
      </c>
      <c r="M67" s="23" t="str">
        <f t="shared" si="6"/>
        <v>yes</v>
      </c>
    </row>
    <row r="68" spans="2:13" s="86" customFormat="1">
      <c r="B68" s="23">
        <f t="shared" si="8"/>
        <v>55</v>
      </c>
      <c r="C68" s="29">
        <f t="shared" si="7"/>
        <v>0.5708333333333333</v>
      </c>
      <c r="D68" s="24">
        <v>247</v>
      </c>
      <c r="E68" s="122">
        <v>1.78</v>
      </c>
      <c r="F68" s="24"/>
      <c r="G68" s="25" t="s">
        <v>117</v>
      </c>
      <c r="H68" s="83">
        <f t="shared" si="9"/>
        <v>1.0000000000000009E-2</v>
      </c>
      <c r="I68" s="26">
        <f t="shared" si="1"/>
        <v>-1</v>
      </c>
      <c r="J68" s="26">
        <f t="shared" si="2"/>
        <v>1.0000000000000009E-2</v>
      </c>
      <c r="K68" s="27">
        <f t="shared" si="10"/>
        <v>13.228551288907632</v>
      </c>
      <c r="L68" s="28">
        <f t="shared" si="5"/>
        <v>132185.5128890762</v>
      </c>
      <c r="M68" s="23" t="str">
        <f t="shared" si="6"/>
        <v>yes</v>
      </c>
    </row>
    <row r="69" spans="2:13" s="86" customFormat="1" ht="10">
      <c r="B69" s="23">
        <f t="shared" si="8"/>
        <v>56</v>
      </c>
      <c r="C69" s="29">
        <f t="shared" si="7"/>
        <v>0.57152777777777786</v>
      </c>
      <c r="D69" s="24">
        <v>248</v>
      </c>
      <c r="E69" s="30"/>
      <c r="F69" s="24"/>
      <c r="G69" s="25" t="s">
        <v>117</v>
      </c>
      <c r="H69" s="83" t="str">
        <f t="shared" si="9"/>
        <v/>
      </c>
      <c r="I69" s="26">
        <f t="shared" si="1"/>
        <v>-1</v>
      </c>
      <c r="J69" s="26">
        <f t="shared" si="2"/>
        <v>-1</v>
      </c>
      <c r="K69" s="27" t="str">
        <f t="shared" si="10"/>
        <v/>
      </c>
      <c r="L69" s="28" t="str">
        <f t="shared" si="5"/>
        <v/>
      </c>
      <c r="M69" s="23" t="str">
        <f t="shared" si="6"/>
        <v>yes</v>
      </c>
    </row>
    <row r="70" spans="2:13" s="86" customFormat="1" ht="10">
      <c r="B70" s="23">
        <f t="shared" si="8"/>
        <v>57</v>
      </c>
      <c r="C70" s="29">
        <f t="shared" si="7"/>
        <v>0.57222222222222219</v>
      </c>
      <c r="D70" s="24">
        <v>249</v>
      </c>
      <c r="E70" s="30"/>
      <c r="F70" s="24"/>
      <c r="G70" s="25" t="s">
        <v>117</v>
      </c>
      <c r="H70" s="83" t="str">
        <f t="shared" si="9"/>
        <v/>
      </c>
      <c r="I70" s="26">
        <f t="shared" si="1"/>
        <v>-1</v>
      </c>
      <c r="J70" s="26">
        <f t="shared" si="2"/>
        <v>-1</v>
      </c>
      <c r="K70" s="27" t="str">
        <f t="shared" si="10"/>
        <v/>
      </c>
      <c r="L70" s="28" t="str">
        <f t="shared" si="5"/>
        <v/>
      </c>
      <c r="M70" s="23" t="str">
        <f t="shared" si="6"/>
        <v>yes</v>
      </c>
    </row>
    <row r="71" spans="2:13" s="86" customFormat="1">
      <c r="B71" s="23">
        <f t="shared" si="8"/>
        <v>58</v>
      </c>
      <c r="C71" s="29">
        <f t="shared" si="7"/>
        <v>0.57291666666666674</v>
      </c>
      <c r="D71" s="24">
        <v>250</v>
      </c>
      <c r="E71" s="122"/>
      <c r="F71" s="24"/>
      <c r="G71" s="25" t="s">
        <v>117</v>
      </c>
      <c r="H71" s="83" t="str">
        <f t="shared" si="9"/>
        <v/>
      </c>
      <c r="I71" s="26">
        <f t="shared" si="1"/>
        <v>-1</v>
      </c>
      <c r="J71" s="26">
        <f t="shared" si="2"/>
        <v>-1</v>
      </c>
      <c r="K71" s="27" t="str">
        <f t="shared" si="10"/>
        <v/>
      </c>
      <c r="L71" s="28" t="str">
        <f t="shared" si="5"/>
        <v/>
      </c>
      <c r="M71" s="23" t="str">
        <f t="shared" si="6"/>
        <v>yes</v>
      </c>
    </row>
    <row r="72" spans="2:13" s="86" customFormat="1" ht="10">
      <c r="B72" s="23">
        <f t="shared" si="8"/>
        <v>59</v>
      </c>
      <c r="C72" s="29">
        <f t="shared" si="7"/>
        <v>0.57430555555555562</v>
      </c>
      <c r="D72" s="24">
        <v>252</v>
      </c>
      <c r="E72" s="30"/>
      <c r="F72" s="24"/>
      <c r="G72" s="25" t="s">
        <v>117</v>
      </c>
      <c r="H72" s="83" t="str">
        <f t="shared" si="9"/>
        <v/>
      </c>
      <c r="I72" s="26">
        <f t="shared" si="1"/>
        <v>-1</v>
      </c>
      <c r="J72" s="26">
        <f t="shared" si="2"/>
        <v>-1</v>
      </c>
      <c r="K72" s="27" t="str">
        <f t="shared" si="10"/>
        <v/>
      </c>
      <c r="L72" s="28" t="str">
        <f t="shared" si="5"/>
        <v/>
      </c>
      <c r="M72" s="23" t="str">
        <f t="shared" si="6"/>
        <v>yes</v>
      </c>
    </row>
    <row r="73" spans="2:13" s="86" customFormat="1" ht="10">
      <c r="B73" s="23">
        <f t="shared" si="8"/>
        <v>60</v>
      </c>
      <c r="C73" s="29">
        <f t="shared" si="7"/>
        <v>0.57569444444444451</v>
      </c>
      <c r="D73" s="24">
        <v>254</v>
      </c>
      <c r="E73" s="30"/>
      <c r="F73" s="24"/>
      <c r="G73" s="25" t="s">
        <v>117</v>
      </c>
      <c r="H73" s="83" t="str">
        <f t="shared" si="9"/>
        <v/>
      </c>
      <c r="I73" s="26">
        <f t="shared" si="1"/>
        <v>-1</v>
      </c>
      <c r="J73" s="26">
        <f t="shared" si="2"/>
        <v>-1</v>
      </c>
      <c r="K73" s="27" t="str">
        <f t="shared" si="10"/>
        <v/>
      </c>
      <c r="L73" s="28" t="str">
        <f t="shared" si="5"/>
        <v/>
      </c>
      <c r="M73" s="23" t="str">
        <f t="shared" si="6"/>
        <v>yes</v>
      </c>
    </row>
    <row r="74" spans="2:13" s="86" customFormat="1">
      <c r="B74" s="23">
        <f t="shared" si="8"/>
        <v>61</v>
      </c>
      <c r="C74" s="29">
        <f t="shared" si="7"/>
        <v>0.57708333333333339</v>
      </c>
      <c r="D74" s="24">
        <v>256</v>
      </c>
      <c r="E74" s="122"/>
      <c r="F74" s="24"/>
      <c r="G74" s="25" t="s">
        <v>118</v>
      </c>
      <c r="H74" s="83" t="str">
        <f t="shared" si="9"/>
        <v/>
      </c>
      <c r="I74" s="26">
        <f t="shared" si="1"/>
        <v>-1</v>
      </c>
      <c r="J74" s="26">
        <f t="shared" si="2"/>
        <v>-1</v>
      </c>
      <c r="K74" s="27" t="str">
        <f t="shared" si="10"/>
        <v/>
      </c>
      <c r="L74" s="28" t="str">
        <f t="shared" si="5"/>
        <v/>
      </c>
      <c r="M74" s="23" t="str">
        <f t="shared" si="6"/>
        <v>yes</v>
      </c>
    </row>
    <row r="75" spans="2:13" s="86" customFormat="1" ht="10">
      <c r="B75" s="23">
        <f t="shared" si="8"/>
        <v>62</v>
      </c>
      <c r="C75" s="29">
        <f t="shared" si="7"/>
        <v>0.57847222222222228</v>
      </c>
      <c r="D75" s="24">
        <v>258</v>
      </c>
      <c r="E75" s="30"/>
      <c r="F75" s="24"/>
      <c r="G75" s="25" t="s">
        <v>117</v>
      </c>
      <c r="H75" s="83" t="str">
        <f t="shared" si="9"/>
        <v/>
      </c>
      <c r="I75" s="26">
        <f t="shared" si="1"/>
        <v>-1</v>
      </c>
      <c r="J75" s="26">
        <f t="shared" si="2"/>
        <v>-1</v>
      </c>
      <c r="K75" s="27" t="str">
        <f t="shared" si="10"/>
        <v/>
      </c>
      <c r="L75" s="28" t="str">
        <f t="shared" si="5"/>
        <v/>
      </c>
      <c r="M75" s="23" t="str">
        <f t="shared" si="6"/>
        <v>yes</v>
      </c>
    </row>
    <row r="76" spans="2:13" s="86" customFormat="1" ht="10">
      <c r="B76" s="23">
        <f t="shared" si="8"/>
        <v>63</v>
      </c>
      <c r="C76" s="29">
        <f t="shared" si="7"/>
        <v>0.57986111111111116</v>
      </c>
      <c r="D76" s="24">
        <v>260</v>
      </c>
      <c r="E76" s="30"/>
      <c r="F76" s="24"/>
      <c r="G76" s="25" t="s">
        <v>117</v>
      </c>
      <c r="H76" s="83" t="str">
        <f t="shared" si="9"/>
        <v/>
      </c>
      <c r="I76" s="26">
        <f t="shared" si="1"/>
        <v>-1</v>
      </c>
      <c r="J76" s="26">
        <f t="shared" si="2"/>
        <v>-1</v>
      </c>
      <c r="K76" s="27" t="str">
        <f t="shared" si="10"/>
        <v/>
      </c>
      <c r="L76" s="28" t="str">
        <f t="shared" si="5"/>
        <v/>
      </c>
      <c r="M76" s="23" t="str">
        <f t="shared" si="6"/>
        <v>yes</v>
      </c>
    </row>
    <row r="77" spans="2:13" s="86" customFormat="1">
      <c r="B77" s="23">
        <f t="shared" si="8"/>
        <v>64</v>
      </c>
      <c r="C77" s="29">
        <f t="shared" si="7"/>
        <v>0.58333333333333337</v>
      </c>
      <c r="D77" s="24">
        <v>265</v>
      </c>
      <c r="E77" s="122"/>
      <c r="F77" s="24"/>
      <c r="G77" s="25" t="s">
        <v>117</v>
      </c>
      <c r="H77" s="83" t="str">
        <f t="shared" si="9"/>
        <v/>
      </c>
      <c r="I77" s="26">
        <f t="shared" si="1"/>
        <v>-1</v>
      </c>
      <c r="J77" s="26">
        <f t="shared" si="2"/>
        <v>-1</v>
      </c>
      <c r="K77" s="27" t="str">
        <f t="shared" si="10"/>
        <v/>
      </c>
      <c r="L77" s="28" t="str">
        <f t="shared" si="5"/>
        <v/>
      </c>
      <c r="M77" s="23" t="str">
        <f t="shared" si="6"/>
        <v>yes</v>
      </c>
    </row>
    <row r="78" spans="2:13" s="86" customFormat="1" ht="10">
      <c r="B78" s="23">
        <f t="shared" si="8"/>
        <v>65</v>
      </c>
      <c r="C78" s="29">
        <f t="shared" si="7"/>
        <v>0.58680555555555558</v>
      </c>
      <c r="D78" s="24">
        <v>270</v>
      </c>
      <c r="E78" s="30"/>
      <c r="F78" s="24" t="s">
        <v>117</v>
      </c>
      <c r="G78" s="25" t="s">
        <v>117</v>
      </c>
      <c r="H78" s="83" t="str">
        <f t="shared" si="9"/>
        <v/>
      </c>
      <c r="I78" s="26">
        <f t="shared" ref="I78:I141" si="11">IF((M78="")*AND(H78=""),-1,IF((M78=""),H78,-1))</f>
        <v>-1</v>
      </c>
      <c r="J78" s="26">
        <f t="shared" ref="J78:J141" si="12">IF((M78="yes")*AND(H78=""),-1,IF((M78="yes"),H78,-1))</f>
        <v>-1</v>
      </c>
      <c r="K78" s="27" t="str">
        <f t="shared" si="10"/>
        <v/>
      </c>
      <c r="L78" s="28" t="str">
        <f t="shared" si="5"/>
        <v/>
      </c>
      <c r="M78" s="23" t="str">
        <f t="shared" si="6"/>
        <v>yes</v>
      </c>
    </row>
    <row r="79" spans="2:13" s="86" customFormat="1" ht="10">
      <c r="B79" s="23">
        <f t="shared" si="8"/>
        <v>66</v>
      </c>
      <c r="C79" s="29">
        <f t="shared" si="7"/>
        <v>0.59027777777777779</v>
      </c>
      <c r="D79" s="24">
        <v>275</v>
      </c>
      <c r="E79" s="30"/>
      <c r="F79" s="24"/>
      <c r="G79" s="25" t="s">
        <v>117</v>
      </c>
      <c r="H79" s="83" t="str">
        <f t="shared" si="9"/>
        <v/>
      </c>
      <c r="I79" s="26">
        <f t="shared" si="11"/>
        <v>-1</v>
      </c>
      <c r="J79" s="26">
        <f t="shared" si="12"/>
        <v>-1</v>
      </c>
      <c r="K79" s="27" t="str">
        <f t="shared" si="10"/>
        <v/>
      </c>
      <c r="L79" s="28" t="str">
        <f t="shared" ref="L79:L123" si="13">IF((M79="yes"),IF(E79&lt;&gt;"",ABS((K79-H79)/J79*100),""),"")</f>
        <v/>
      </c>
      <c r="M79" s="23" t="str">
        <f t="shared" ref="M79:M123" si="14">IF(u_0.05&gt;D79,"","yes")</f>
        <v>yes</v>
      </c>
    </row>
    <row r="80" spans="2:13" s="86" customFormat="1">
      <c r="B80" s="23">
        <f t="shared" si="8"/>
        <v>67</v>
      </c>
      <c r="C80" s="29">
        <f t="shared" ref="C80:C123" si="15">IF((D80&lt;&gt;0),C$14+(D80/1440),"")</f>
        <v>0.59375</v>
      </c>
      <c r="D80" s="24">
        <v>280</v>
      </c>
      <c r="E80" s="122"/>
      <c r="F80" s="24"/>
      <c r="G80" s="25" t="s">
        <v>117</v>
      </c>
      <c r="H80" s="83" t="str">
        <f t="shared" si="9"/>
        <v/>
      </c>
      <c r="I80" s="26">
        <f t="shared" si="11"/>
        <v>-1</v>
      </c>
      <c r="J80" s="26">
        <f t="shared" si="12"/>
        <v>-1</v>
      </c>
      <c r="K80" s="27" t="str">
        <f t="shared" si="10"/>
        <v/>
      </c>
      <c r="L80" s="28" t="str">
        <f t="shared" si="13"/>
        <v/>
      </c>
      <c r="M80" s="23" t="str">
        <f t="shared" si="14"/>
        <v>yes</v>
      </c>
    </row>
    <row r="81" spans="2:13" s="86" customFormat="1" ht="10">
      <c r="B81" s="23">
        <f t="shared" si="8"/>
        <v>68</v>
      </c>
      <c r="C81" s="29">
        <f t="shared" si="15"/>
        <v>0.59722222222222221</v>
      </c>
      <c r="D81" s="24">
        <v>285</v>
      </c>
      <c r="E81" s="30"/>
      <c r="F81" s="24"/>
      <c r="G81" s="25" t="s">
        <v>117</v>
      </c>
      <c r="H81" s="83" t="str">
        <f t="shared" si="9"/>
        <v/>
      </c>
      <c r="I81" s="26">
        <f t="shared" si="11"/>
        <v>-1</v>
      </c>
      <c r="J81" s="26">
        <f t="shared" si="12"/>
        <v>-1</v>
      </c>
      <c r="K81" s="27" t="str">
        <f t="shared" si="10"/>
        <v/>
      </c>
      <c r="L81" s="28" t="str">
        <f t="shared" si="13"/>
        <v/>
      </c>
      <c r="M81" s="23" t="str">
        <f t="shared" si="14"/>
        <v>yes</v>
      </c>
    </row>
    <row r="82" spans="2:13" s="86" customFormat="1">
      <c r="B82" s="23">
        <f t="shared" si="8"/>
        <v>69</v>
      </c>
      <c r="C82" s="29">
        <f t="shared" si="15"/>
        <v>0.60069444444444442</v>
      </c>
      <c r="D82" s="24">
        <v>290</v>
      </c>
      <c r="E82" s="122"/>
      <c r="F82" s="24"/>
      <c r="G82" s="25" t="s">
        <v>117</v>
      </c>
      <c r="H82" s="83" t="str">
        <f t="shared" si="9"/>
        <v/>
      </c>
      <c r="I82" s="26">
        <f t="shared" si="11"/>
        <v>-1</v>
      </c>
      <c r="J82" s="26">
        <f t="shared" si="12"/>
        <v>-1</v>
      </c>
      <c r="K82" s="27" t="str">
        <f t="shared" si="10"/>
        <v/>
      </c>
      <c r="L82" s="28" t="str">
        <f t="shared" si="13"/>
        <v/>
      </c>
      <c r="M82" s="23" t="str">
        <f t="shared" si="14"/>
        <v>yes</v>
      </c>
    </row>
    <row r="83" spans="2:13" s="86" customFormat="1">
      <c r="B83" s="23">
        <f t="shared" si="8"/>
        <v>70</v>
      </c>
      <c r="C83" s="29">
        <f t="shared" si="15"/>
        <v>0.60416666666666674</v>
      </c>
      <c r="D83" s="24">
        <v>295</v>
      </c>
      <c r="E83" s="122"/>
      <c r="F83" s="24"/>
      <c r="G83" s="25" t="s">
        <v>117</v>
      </c>
      <c r="H83" s="83" t="str">
        <f t="shared" si="9"/>
        <v/>
      </c>
      <c r="I83" s="26">
        <f t="shared" si="11"/>
        <v>-1</v>
      </c>
      <c r="J83" s="26">
        <f t="shared" si="12"/>
        <v>-1</v>
      </c>
      <c r="K83" s="27" t="str">
        <f t="shared" si="10"/>
        <v/>
      </c>
      <c r="L83" s="28" t="str">
        <f t="shared" si="13"/>
        <v/>
      </c>
      <c r="M83" s="23" t="str">
        <f t="shared" si="14"/>
        <v>yes</v>
      </c>
    </row>
    <row r="84" spans="2:13" s="86" customFormat="1">
      <c r="B84" s="23">
        <f t="shared" si="8"/>
        <v>71</v>
      </c>
      <c r="C84" s="29">
        <f t="shared" si="15"/>
        <v>0.60763888888888895</v>
      </c>
      <c r="D84" s="24">
        <v>300</v>
      </c>
      <c r="E84" s="122"/>
      <c r="F84" s="24"/>
      <c r="G84" s="25" t="s">
        <v>117</v>
      </c>
      <c r="H84" s="83" t="str">
        <f t="shared" si="9"/>
        <v/>
      </c>
      <c r="I84" s="26">
        <f t="shared" si="11"/>
        <v>-1</v>
      </c>
      <c r="J84" s="26">
        <f t="shared" si="12"/>
        <v>-1</v>
      </c>
      <c r="K84" s="27" t="str">
        <f t="shared" si="10"/>
        <v/>
      </c>
      <c r="L84" s="28" t="str">
        <f t="shared" si="13"/>
        <v/>
      </c>
      <c r="M84" s="23" t="str">
        <f t="shared" si="14"/>
        <v>yes</v>
      </c>
    </row>
    <row r="85" spans="2:13" s="86" customFormat="1">
      <c r="B85" s="23">
        <f t="shared" si="8"/>
        <v>72</v>
      </c>
      <c r="C85" s="29">
        <f t="shared" si="15"/>
        <v>0.61458333333333337</v>
      </c>
      <c r="D85" s="24">
        <v>310</v>
      </c>
      <c r="E85" s="122"/>
      <c r="F85" s="24"/>
      <c r="G85" s="25" t="s">
        <v>118</v>
      </c>
      <c r="H85" s="83" t="str">
        <f t="shared" si="9"/>
        <v/>
      </c>
      <c r="I85" s="26">
        <f t="shared" si="11"/>
        <v>-1</v>
      </c>
      <c r="J85" s="26">
        <f t="shared" si="12"/>
        <v>-1</v>
      </c>
      <c r="K85" s="27" t="str">
        <f t="shared" si="10"/>
        <v/>
      </c>
      <c r="L85" s="28" t="str">
        <f t="shared" si="13"/>
        <v/>
      </c>
      <c r="M85" s="23" t="str">
        <f t="shared" si="14"/>
        <v>yes</v>
      </c>
    </row>
    <row r="86" spans="2:13" s="86" customFormat="1">
      <c r="B86" s="23">
        <f t="shared" si="8"/>
        <v>73</v>
      </c>
      <c r="C86" s="29">
        <f t="shared" si="15"/>
        <v>0.62152777777777779</v>
      </c>
      <c r="D86" s="24">
        <v>320</v>
      </c>
      <c r="E86" s="122"/>
      <c r="F86" s="24"/>
      <c r="G86" s="25" t="s">
        <v>117</v>
      </c>
      <c r="H86" s="83" t="str">
        <f t="shared" si="9"/>
        <v/>
      </c>
      <c r="I86" s="26">
        <f t="shared" si="11"/>
        <v>-1</v>
      </c>
      <c r="J86" s="26">
        <f t="shared" si="12"/>
        <v>-1</v>
      </c>
      <c r="K86" s="27" t="str">
        <f t="shared" si="10"/>
        <v/>
      </c>
      <c r="L86" s="28" t="str">
        <f t="shared" si="13"/>
        <v/>
      </c>
      <c r="M86" s="23" t="str">
        <f t="shared" si="14"/>
        <v>yes</v>
      </c>
    </row>
    <row r="87" spans="2:13" s="86" customFormat="1">
      <c r="B87" s="23">
        <f t="shared" si="8"/>
        <v>74</v>
      </c>
      <c r="C87" s="29">
        <f t="shared" si="15"/>
        <v>0.62847222222222221</v>
      </c>
      <c r="D87" s="24">
        <v>330</v>
      </c>
      <c r="E87" s="122"/>
      <c r="F87" s="24"/>
      <c r="G87" s="25" t="s">
        <v>117</v>
      </c>
      <c r="H87" s="83" t="str">
        <f t="shared" si="9"/>
        <v/>
      </c>
      <c r="I87" s="26">
        <f t="shared" si="11"/>
        <v>-1</v>
      </c>
      <c r="J87" s="26">
        <f t="shared" si="12"/>
        <v>-1</v>
      </c>
      <c r="K87" s="27" t="str">
        <f t="shared" si="10"/>
        <v/>
      </c>
      <c r="L87" s="28" t="str">
        <f t="shared" si="13"/>
        <v/>
      </c>
      <c r="M87" s="23" t="str">
        <f t="shared" si="14"/>
        <v>yes</v>
      </c>
    </row>
    <row r="88" spans="2:13" s="86" customFormat="1">
      <c r="B88" s="23">
        <f t="shared" si="8"/>
        <v>75</v>
      </c>
      <c r="C88" s="29">
        <f t="shared" si="15"/>
        <v>0.63541666666666674</v>
      </c>
      <c r="D88" s="24">
        <v>340</v>
      </c>
      <c r="E88" s="122"/>
      <c r="F88" s="24"/>
      <c r="G88" s="25" t="s">
        <v>117</v>
      </c>
      <c r="H88" s="83" t="str">
        <f t="shared" si="9"/>
        <v/>
      </c>
      <c r="I88" s="26">
        <f t="shared" si="11"/>
        <v>-1</v>
      </c>
      <c r="J88" s="26">
        <f t="shared" si="12"/>
        <v>-1</v>
      </c>
      <c r="K88" s="27" t="str">
        <f t="shared" si="10"/>
        <v/>
      </c>
      <c r="L88" s="28" t="str">
        <f t="shared" si="13"/>
        <v/>
      </c>
      <c r="M88" s="23" t="str">
        <f t="shared" si="14"/>
        <v>yes</v>
      </c>
    </row>
    <row r="89" spans="2:13" s="86" customFormat="1">
      <c r="B89" s="23">
        <f t="shared" si="8"/>
        <v>76</v>
      </c>
      <c r="C89" s="29">
        <f t="shared" si="15"/>
        <v>0.64236111111111116</v>
      </c>
      <c r="D89" s="24">
        <v>350</v>
      </c>
      <c r="E89" s="122"/>
      <c r="F89" s="24"/>
      <c r="G89" s="25" t="s">
        <v>117</v>
      </c>
      <c r="H89" s="83" t="str">
        <f t="shared" si="9"/>
        <v/>
      </c>
      <c r="I89" s="26">
        <f t="shared" si="11"/>
        <v>-1</v>
      </c>
      <c r="J89" s="26">
        <f t="shared" si="12"/>
        <v>-1</v>
      </c>
      <c r="K89" s="27" t="str">
        <f t="shared" si="10"/>
        <v/>
      </c>
      <c r="L89" s="28" t="str">
        <f t="shared" si="13"/>
        <v/>
      </c>
      <c r="M89" s="23" t="str">
        <f t="shared" si="14"/>
        <v>yes</v>
      </c>
    </row>
    <row r="90" spans="2:13" s="86" customFormat="1">
      <c r="B90" s="23" t="str">
        <f t="shared" si="8"/>
        <v/>
      </c>
      <c r="C90" s="29" t="str">
        <f t="shared" si="15"/>
        <v/>
      </c>
      <c r="D90" s="24"/>
      <c r="E90" s="122"/>
      <c r="F90" s="24"/>
      <c r="G90" s="25" t="s">
        <v>117</v>
      </c>
      <c r="H90" s="83" t="str">
        <f t="shared" si="9"/>
        <v/>
      </c>
      <c r="I90" s="26">
        <f t="shared" si="11"/>
        <v>-1</v>
      </c>
      <c r="J90" s="26">
        <f t="shared" si="12"/>
        <v>-1</v>
      </c>
      <c r="K90" s="27" t="str">
        <f t="shared" si="10"/>
        <v/>
      </c>
      <c r="L90" s="28" t="str">
        <f t="shared" si="13"/>
        <v/>
      </c>
      <c r="M90" s="23" t="str">
        <f t="shared" si="14"/>
        <v/>
      </c>
    </row>
    <row r="91" spans="2:13" s="86" customFormat="1" ht="10">
      <c r="B91" s="23" t="str">
        <f t="shared" si="8"/>
        <v/>
      </c>
      <c r="C91" s="29" t="str">
        <f t="shared" si="15"/>
        <v/>
      </c>
      <c r="D91" s="24"/>
      <c r="E91" s="30"/>
      <c r="F91" s="24"/>
      <c r="G91" s="25" t="s">
        <v>117</v>
      </c>
      <c r="H91" s="83" t="str">
        <f t="shared" si="9"/>
        <v/>
      </c>
      <c r="I91" s="26">
        <f t="shared" si="11"/>
        <v>-1</v>
      </c>
      <c r="J91" s="26">
        <f t="shared" si="12"/>
        <v>-1</v>
      </c>
      <c r="K91" s="27" t="str">
        <f t="shared" si="10"/>
        <v/>
      </c>
      <c r="L91" s="28" t="str">
        <f t="shared" si="13"/>
        <v/>
      </c>
      <c r="M91" s="23" t="str">
        <f t="shared" si="14"/>
        <v/>
      </c>
    </row>
    <row r="92" spans="2:13" s="86" customFormat="1">
      <c r="B92" s="23" t="str">
        <f t="shared" si="8"/>
        <v/>
      </c>
      <c r="C92" s="29" t="str">
        <f t="shared" si="15"/>
        <v/>
      </c>
      <c r="D92" s="24"/>
      <c r="E92" s="122"/>
      <c r="F92" s="24"/>
      <c r="G92" s="25" t="s">
        <v>117</v>
      </c>
      <c r="H92" s="83" t="str">
        <f t="shared" si="9"/>
        <v/>
      </c>
      <c r="I92" s="26">
        <f t="shared" si="11"/>
        <v>-1</v>
      </c>
      <c r="J92" s="26">
        <f t="shared" si="12"/>
        <v>-1</v>
      </c>
      <c r="K92" s="27" t="str">
        <f t="shared" si="10"/>
        <v/>
      </c>
      <c r="L92" s="28" t="str">
        <f t="shared" si="13"/>
        <v/>
      </c>
      <c r="M92" s="23" t="str">
        <f t="shared" si="14"/>
        <v/>
      </c>
    </row>
    <row r="93" spans="2:13" s="86" customFormat="1" ht="10">
      <c r="B93" s="23" t="str">
        <f t="shared" si="8"/>
        <v/>
      </c>
      <c r="C93" s="29" t="str">
        <f t="shared" si="15"/>
        <v/>
      </c>
      <c r="D93" s="24"/>
      <c r="E93" s="30"/>
      <c r="F93" s="24"/>
      <c r="G93" s="25" t="s">
        <v>117</v>
      </c>
      <c r="H93" s="83" t="str">
        <f t="shared" si="9"/>
        <v/>
      </c>
      <c r="I93" s="26">
        <f t="shared" si="11"/>
        <v>-1</v>
      </c>
      <c r="J93" s="26">
        <f t="shared" si="12"/>
        <v>-1</v>
      </c>
      <c r="K93" s="27" t="str">
        <f t="shared" si="10"/>
        <v/>
      </c>
      <c r="L93" s="28" t="str">
        <f t="shared" si="13"/>
        <v/>
      </c>
      <c r="M93" s="23" t="str">
        <f t="shared" si="14"/>
        <v/>
      </c>
    </row>
    <row r="94" spans="2:13" s="86" customFormat="1">
      <c r="B94" s="23" t="str">
        <f t="shared" si="8"/>
        <v/>
      </c>
      <c r="C94" s="29" t="str">
        <f t="shared" si="15"/>
        <v/>
      </c>
      <c r="D94" s="24"/>
      <c r="E94" s="123"/>
      <c r="F94" s="24"/>
      <c r="G94" s="25" t="s">
        <v>118</v>
      </c>
      <c r="H94" s="83" t="str">
        <f t="shared" si="9"/>
        <v/>
      </c>
      <c r="I94" s="26">
        <f t="shared" si="11"/>
        <v>-1</v>
      </c>
      <c r="J94" s="26">
        <f t="shared" si="12"/>
        <v>-1</v>
      </c>
      <c r="K94" s="27" t="str">
        <f t="shared" si="10"/>
        <v/>
      </c>
      <c r="L94" s="28" t="str">
        <f t="shared" si="13"/>
        <v/>
      </c>
      <c r="M94" s="23" t="str">
        <f t="shared" si="14"/>
        <v/>
      </c>
    </row>
    <row r="95" spans="2:13" s="86" customFormat="1" ht="10">
      <c r="B95" s="23" t="str">
        <f t="shared" si="8"/>
        <v/>
      </c>
      <c r="C95" s="29" t="str">
        <f t="shared" si="15"/>
        <v/>
      </c>
      <c r="D95" s="24"/>
      <c r="E95" s="30"/>
      <c r="F95" s="24"/>
      <c r="G95" s="25" t="s">
        <v>117</v>
      </c>
      <c r="H95" s="83" t="str">
        <f t="shared" si="9"/>
        <v/>
      </c>
      <c r="I95" s="26">
        <f t="shared" si="11"/>
        <v>-1</v>
      </c>
      <c r="J95" s="26">
        <f t="shared" si="12"/>
        <v>-1</v>
      </c>
      <c r="K95" s="27" t="str">
        <f t="shared" si="10"/>
        <v/>
      </c>
      <c r="L95" s="28" t="str">
        <f t="shared" si="13"/>
        <v/>
      </c>
      <c r="M95" s="23" t="str">
        <f t="shared" si="14"/>
        <v/>
      </c>
    </row>
    <row r="96" spans="2:13" s="86" customFormat="1" ht="10">
      <c r="B96" s="23" t="str">
        <f t="shared" si="8"/>
        <v/>
      </c>
      <c r="C96" s="29" t="str">
        <f t="shared" si="15"/>
        <v/>
      </c>
      <c r="D96" s="24"/>
      <c r="E96" s="30"/>
      <c r="F96" s="24"/>
      <c r="G96" s="25" t="s">
        <v>117</v>
      </c>
      <c r="H96" s="83" t="str">
        <f t="shared" si="9"/>
        <v/>
      </c>
      <c r="I96" s="26">
        <f t="shared" si="11"/>
        <v>-1</v>
      </c>
      <c r="J96" s="26">
        <f t="shared" si="12"/>
        <v>-1</v>
      </c>
      <c r="K96" s="27" t="str">
        <f t="shared" si="10"/>
        <v/>
      </c>
      <c r="L96" s="28" t="str">
        <f t="shared" si="13"/>
        <v/>
      </c>
      <c r="M96" s="23" t="str">
        <f t="shared" si="14"/>
        <v/>
      </c>
    </row>
    <row r="97" spans="2:13" s="86" customFormat="1">
      <c r="B97" s="23" t="str">
        <f t="shared" si="8"/>
        <v/>
      </c>
      <c r="C97" s="29" t="str">
        <f t="shared" si="15"/>
        <v/>
      </c>
      <c r="D97" s="24"/>
      <c r="E97" s="123"/>
      <c r="F97" s="24"/>
      <c r="G97" s="25" t="s">
        <v>117</v>
      </c>
      <c r="H97" s="83" t="str">
        <f t="shared" si="9"/>
        <v/>
      </c>
      <c r="I97" s="26">
        <f t="shared" si="11"/>
        <v>-1</v>
      </c>
      <c r="J97" s="26">
        <f t="shared" si="12"/>
        <v>-1</v>
      </c>
      <c r="K97" s="27" t="str">
        <f t="shared" si="10"/>
        <v/>
      </c>
      <c r="L97" s="28" t="str">
        <f t="shared" si="13"/>
        <v/>
      </c>
      <c r="M97" s="23" t="str">
        <f t="shared" si="14"/>
        <v/>
      </c>
    </row>
    <row r="98" spans="2:13" s="86" customFormat="1" ht="10">
      <c r="B98" s="23" t="str">
        <f t="shared" si="8"/>
        <v/>
      </c>
      <c r="C98" s="29" t="str">
        <f t="shared" si="15"/>
        <v/>
      </c>
      <c r="D98" s="24"/>
      <c r="E98" s="30"/>
      <c r="F98" s="24"/>
      <c r="G98" s="25" t="s">
        <v>117</v>
      </c>
      <c r="H98" s="83" t="str">
        <f t="shared" si="9"/>
        <v/>
      </c>
      <c r="I98" s="26">
        <f t="shared" si="11"/>
        <v>-1</v>
      </c>
      <c r="J98" s="26">
        <f t="shared" si="12"/>
        <v>-1</v>
      </c>
      <c r="K98" s="27" t="str">
        <f t="shared" si="10"/>
        <v/>
      </c>
      <c r="L98" s="28" t="str">
        <f t="shared" si="13"/>
        <v/>
      </c>
      <c r="M98" s="23" t="str">
        <f t="shared" si="14"/>
        <v/>
      </c>
    </row>
    <row r="99" spans="2:13" s="86" customFormat="1">
      <c r="B99" s="23" t="str">
        <f t="shared" si="8"/>
        <v/>
      </c>
      <c r="C99" s="29" t="str">
        <f t="shared" si="15"/>
        <v/>
      </c>
      <c r="D99" s="24"/>
      <c r="E99" s="123"/>
      <c r="F99" s="24"/>
      <c r="G99" s="25" t="s">
        <v>117</v>
      </c>
      <c r="H99" s="83" t="str">
        <f t="shared" si="9"/>
        <v/>
      </c>
      <c r="I99" s="26">
        <f t="shared" si="11"/>
        <v>-1</v>
      </c>
      <c r="J99" s="26">
        <f t="shared" si="12"/>
        <v>-1</v>
      </c>
      <c r="K99" s="27" t="str">
        <f t="shared" si="10"/>
        <v/>
      </c>
      <c r="L99" s="28" t="str">
        <f t="shared" si="13"/>
        <v/>
      </c>
      <c r="M99" s="23" t="str">
        <f t="shared" si="14"/>
        <v/>
      </c>
    </row>
    <row r="100" spans="2:13" s="86" customFormat="1" ht="10">
      <c r="B100" s="23" t="str">
        <f t="shared" si="8"/>
        <v/>
      </c>
      <c r="C100" s="29" t="str">
        <f t="shared" si="15"/>
        <v/>
      </c>
      <c r="D100" s="24"/>
      <c r="E100" s="30"/>
      <c r="F100" s="24"/>
      <c r="G100" s="25" t="s">
        <v>117</v>
      </c>
      <c r="H100" s="83" t="str">
        <f t="shared" si="9"/>
        <v/>
      </c>
      <c r="I100" s="26">
        <f t="shared" si="11"/>
        <v>-1</v>
      </c>
      <c r="J100" s="26">
        <f t="shared" si="12"/>
        <v>-1</v>
      </c>
      <c r="K100" s="27" t="str">
        <f t="shared" si="10"/>
        <v/>
      </c>
      <c r="L100" s="28" t="str">
        <f t="shared" si="13"/>
        <v/>
      </c>
      <c r="M100" s="23" t="str">
        <f t="shared" si="14"/>
        <v/>
      </c>
    </row>
    <row r="101" spans="2:13" s="86" customFormat="1">
      <c r="B101" s="23" t="str">
        <f t="shared" si="8"/>
        <v/>
      </c>
      <c r="C101" s="29" t="str">
        <f t="shared" si="15"/>
        <v/>
      </c>
      <c r="D101" s="24"/>
      <c r="E101" s="123"/>
      <c r="F101" s="24"/>
      <c r="G101" s="25" t="s">
        <v>117</v>
      </c>
      <c r="H101" s="83" t="str">
        <f t="shared" si="9"/>
        <v/>
      </c>
      <c r="I101" s="26">
        <f t="shared" si="11"/>
        <v>-1</v>
      </c>
      <c r="J101" s="26">
        <f t="shared" si="12"/>
        <v>-1</v>
      </c>
      <c r="K101" s="27" t="str">
        <f t="shared" si="10"/>
        <v/>
      </c>
      <c r="L101" s="28" t="str">
        <f t="shared" si="13"/>
        <v/>
      </c>
      <c r="M101" s="23" t="str">
        <f t="shared" si="14"/>
        <v/>
      </c>
    </row>
    <row r="102" spans="2:13" s="86" customFormat="1" ht="10">
      <c r="B102" s="23" t="str">
        <f t="shared" si="8"/>
        <v/>
      </c>
      <c r="C102" s="29" t="str">
        <f t="shared" si="15"/>
        <v/>
      </c>
      <c r="D102" s="24"/>
      <c r="E102" s="30"/>
      <c r="F102" s="24"/>
      <c r="G102" s="25"/>
      <c r="H102" s="83" t="str">
        <f t="shared" si="9"/>
        <v/>
      </c>
      <c r="I102" s="26">
        <f t="shared" si="11"/>
        <v>-1</v>
      </c>
      <c r="J102" s="26">
        <f t="shared" si="12"/>
        <v>-1</v>
      </c>
      <c r="K102" s="27" t="str">
        <f t="shared" si="10"/>
        <v/>
      </c>
      <c r="L102" s="28" t="str">
        <f t="shared" si="13"/>
        <v/>
      </c>
      <c r="M102" s="23" t="str">
        <f t="shared" si="14"/>
        <v/>
      </c>
    </row>
    <row r="103" spans="2:13" s="86" customFormat="1" ht="10">
      <c r="B103" s="23" t="str">
        <f t="shared" si="8"/>
        <v/>
      </c>
      <c r="C103" s="29" t="str">
        <f t="shared" si="15"/>
        <v/>
      </c>
      <c r="D103" s="24"/>
      <c r="E103" s="30"/>
      <c r="F103" s="24"/>
      <c r="G103" s="25" t="s">
        <v>118</v>
      </c>
      <c r="H103" s="83" t="str">
        <f t="shared" si="9"/>
        <v/>
      </c>
      <c r="I103" s="26">
        <f t="shared" si="11"/>
        <v>-1</v>
      </c>
      <c r="J103" s="26">
        <f t="shared" si="12"/>
        <v>-1</v>
      </c>
      <c r="K103" s="27" t="str">
        <f t="shared" si="10"/>
        <v/>
      </c>
      <c r="L103" s="28" t="str">
        <f t="shared" si="13"/>
        <v/>
      </c>
      <c r="M103" s="23" t="str">
        <f t="shared" si="14"/>
        <v/>
      </c>
    </row>
    <row r="104" spans="2:13" s="86" customFormat="1" ht="10">
      <c r="B104" s="23" t="str">
        <f t="shared" ref="B104:B123" si="16">IF(D104="","",B103+1)</f>
        <v/>
      </c>
      <c r="C104" s="29" t="str">
        <f t="shared" si="15"/>
        <v/>
      </c>
      <c r="D104" s="24"/>
      <c r="E104" s="30"/>
      <c r="F104" s="24"/>
      <c r="G104" s="25" t="s">
        <v>117</v>
      </c>
      <c r="H104" s="83" t="str">
        <f t="shared" ref="H104:H123" si="17">IF(E104&lt;&gt;"",ABS(E104-watertable),"")</f>
        <v/>
      </c>
      <c r="I104" s="26">
        <f t="shared" si="11"/>
        <v>-1</v>
      </c>
      <c r="J104" s="26">
        <f t="shared" si="12"/>
        <v>-1</v>
      </c>
      <c r="K104" s="27" t="str">
        <f t="shared" ref="K104:K123" si="18">IF(E104&lt;&gt;"",slope*LN(D104)+intercept,"")</f>
        <v/>
      </c>
      <c r="L104" s="28" t="str">
        <f t="shared" si="13"/>
        <v/>
      </c>
      <c r="M104" s="23" t="str">
        <f t="shared" si="14"/>
        <v/>
      </c>
    </row>
    <row r="105" spans="2:13" s="86" customFormat="1" ht="10">
      <c r="B105" s="23" t="str">
        <f t="shared" si="16"/>
        <v/>
      </c>
      <c r="C105" s="29" t="str">
        <f t="shared" si="15"/>
        <v/>
      </c>
      <c r="D105" s="24"/>
      <c r="E105" s="30"/>
      <c r="F105" s="24"/>
      <c r="G105" s="25" t="s">
        <v>117</v>
      </c>
      <c r="H105" s="83" t="str">
        <f t="shared" si="17"/>
        <v/>
      </c>
      <c r="I105" s="26">
        <f t="shared" si="11"/>
        <v>-1</v>
      </c>
      <c r="J105" s="26">
        <f t="shared" si="12"/>
        <v>-1</v>
      </c>
      <c r="K105" s="27" t="str">
        <f t="shared" si="18"/>
        <v/>
      </c>
      <c r="L105" s="28" t="str">
        <f t="shared" si="13"/>
        <v/>
      </c>
      <c r="M105" s="23" t="str">
        <f t="shared" si="14"/>
        <v/>
      </c>
    </row>
    <row r="106" spans="2:13" s="86" customFormat="1" ht="10">
      <c r="B106" s="23" t="str">
        <f t="shared" si="16"/>
        <v/>
      </c>
      <c r="C106" s="29" t="str">
        <f t="shared" si="15"/>
        <v/>
      </c>
      <c r="D106" s="24"/>
      <c r="E106" s="30"/>
      <c r="F106" s="24"/>
      <c r="G106" s="25" t="s">
        <v>117</v>
      </c>
      <c r="H106" s="83" t="str">
        <f t="shared" si="17"/>
        <v/>
      </c>
      <c r="I106" s="26">
        <f t="shared" si="11"/>
        <v>-1</v>
      </c>
      <c r="J106" s="26">
        <f t="shared" si="12"/>
        <v>-1</v>
      </c>
      <c r="K106" s="27" t="str">
        <f t="shared" si="18"/>
        <v/>
      </c>
      <c r="L106" s="28" t="str">
        <f t="shared" si="13"/>
        <v/>
      </c>
      <c r="M106" s="23" t="str">
        <f t="shared" si="14"/>
        <v/>
      </c>
    </row>
    <row r="107" spans="2:13" s="86" customFormat="1" ht="10">
      <c r="B107" s="23" t="str">
        <f t="shared" si="16"/>
        <v/>
      </c>
      <c r="C107" s="29" t="str">
        <f t="shared" si="15"/>
        <v/>
      </c>
      <c r="D107" s="24"/>
      <c r="E107" s="30"/>
      <c r="F107" s="24"/>
      <c r="G107" s="25" t="s">
        <v>117</v>
      </c>
      <c r="H107" s="83" t="str">
        <f t="shared" si="17"/>
        <v/>
      </c>
      <c r="I107" s="26">
        <f t="shared" si="11"/>
        <v>-1</v>
      </c>
      <c r="J107" s="26">
        <f t="shared" si="12"/>
        <v>-1</v>
      </c>
      <c r="K107" s="27" t="str">
        <f t="shared" si="18"/>
        <v/>
      </c>
      <c r="L107" s="28" t="str">
        <f t="shared" si="13"/>
        <v/>
      </c>
      <c r="M107" s="23" t="str">
        <f t="shared" si="14"/>
        <v/>
      </c>
    </row>
    <row r="108" spans="2:13" s="86" customFormat="1" ht="10">
      <c r="B108" s="23" t="str">
        <f t="shared" si="16"/>
        <v/>
      </c>
      <c r="C108" s="29" t="str">
        <f t="shared" si="15"/>
        <v/>
      </c>
      <c r="D108" s="24"/>
      <c r="E108" s="30"/>
      <c r="F108" s="24"/>
      <c r="G108" s="25" t="s">
        <v>117</v>
      </c>
      <c r="H108" s="83" t="str">
        <f t="shared" si="17"/>
        <v/>
      </c>
      <c r="I108" s="26">
        <f t="shared" si="11"/>
        <v>-1</v>
      </c>
      <c r="J108" s="26">
        <f t="shared" si="12"/>
        <v>-1</v>
      </c>
      <c r="K108" s="27" t="str">
        <f t="shared" si="18"/>
        <v/>
      </c>
      <c r="L108" s="28" t="str">
        <f t="shared" si="13"/>
        <v/>
      </c>
      <c r="M108" s="23" t="str">
        <f t="shared" si="14"/>
        <v/>
      </c>
    </row>
    <row r="109" spans="2:13" s="86" customFormat="1" ht="10">
      <c r="B109" s="23" t="str">
        <f t="shared" si="16"/>
        <v/>
      </c>
      <c r="C109" s="29" t="str">
        <f t="shared" si="15"/>
        <v/>
      </c>
      <c r="D109" s="24"/>
      <c r="E109" s="30"/>
      <c r="F109" s="24"/>
      <c r="G109" s="25" t="s">
        <v>117</v>
      </c>
      <c r="H109" s="83" t="str">
        <f t="shared" si="17"/>
        <v/>
      </c>
      <c r="I109" s="26">
        <f t="shared" si="11"/>
        <v>-1</v>
      </c>
      <c r="J109" s="26">
        <f t="shared" si="12"/>
        <v>-1</v>
      </c>
      <c r="K109" s="27" t="str">
        <f t="shared" si="18"/>
        <v/>
      </c>
      <c r="L109" s="28" t="str">
        <f t="shared" si="13"/>
        <v/>
      </c>
      <c r="M109" s="23" t="str">
        <f t="shared" si="14"/>
        <v/>
      </c>
    </row>
    <row r="110" spans="2:13" s="86" customFormat="1" ht="10">
      <c r="B110" s="23" t="str">
        <f t="shared" si="16"/>
        <v/>
      </c>
      <c r="C110" s="29" t="str">
        <f t="shared" si="15"/>
        <v/>
      </c>
      <c r="D110" s="24"/>
      <c r="E110" s="30"/>
      <c r="F110" s="24"/>
      <c r="G110" s="25" t="s">
        <v>117</v>
      </c>
      <c r="H110" s="83" t="str">
        <f t="shared" si="17"/>
        <v/>
      </c>
      <c r="I110" s="26">
        <f t="shared" si="11"/>
        <v>-1</v>
      </c>
      <c r="J110" s="26">
        <f t="shared" si="12"/>
        <v>-1</v>
      </c>
      <c r="K110" s="27" t="str">
        <f t="shared" si="18"/>
        <v/>
      </c>
      <c r="L110" s="28" t="str">
        <f t="shared" si="13"/>
        <v/>
      </c>
      <c r="M110" s="23" t="str">
        <f t="shared" si="14"/>
        <v/>
      </c>
    </row>
    <row r="111" spans="2:13" s="86" customFormat="1" ht="10">
      <c r="B111" s="23" t="str">
        <f t="shared" si="16"/>
        <v/>
      </c>
      <c r="C111" s="29" t="str">
        <f t="shared" si="15"/>
        <v/>
      </c>
      <c r="D111" s="24"/>
      <c r="E111" s="30"/>
      <c r="F111" s="24"/>
      <c r="G111" s="25" t="s">
        <v>117</v>
      </c>
      <c r="H111" s="83" t="str">
        <f t="shared" si="17"/>
        <v/>
      </c>
      <c r="I111" s="26">
        <f t="shared" si="11"/>
        <v>-1</v>
      </c>
      <c r="J111" s="26">
        <f t="shared" si="12"/>
        <v>-1</v>
      </c>
      <c r="K111" s="27" t="str">
        <f t="shared" si="18"/>
        <v/>
      </c>
      <c r="L111" s="28" t="str">
        <f t="shared" si="13"/>
        <v/>
      </c>
      <c r="M111" s="23" t="str">
        <f t="shared" si="14"/>
        <v/>
      </c>
    </row>
    <row r="112" spans="2:13" s="86" customFormat="1" ht="10">
      <c r="B112" s="23" t="str">
        <f t="shared" si="16"/>
        <v/>
      </c>
      <c r="C112" s="29" t="str">
        <f t="shared" si="15"/>
        <v/>
      </c>
      <c r="D112" s="24"/>
      <c r="E112" s="30"/>
      <c r="F112" s="24"/>
      <c r="G112" s="25"/>
      <c r="H112" s="83" t="str">
        <f t="shared" si="17"/>
        <v/>
      </c>
      <c r="I112" s="26">
        <f t="shared" si="11"/>
        <v>-1</v>
      </c>
      <c r="J112" s="26">
        <f t="shared" si="12"/>
        <v>-1</v>
      </c>
      <c r="K112" s="27" t="str">
        <f t="shared" si="18"/>
        <v/>
      </c>
      <c r="L112" s="28" t="str">
        <f t="shared" si="13"/>
        <v/>
      </c>
      <c r="M112" s="23" t="str">
        <f t="shared" si="14"/>
        <v/>
      </c>
    </row>
    <row r="113" spans="2:13" s="86" customFormat="1" ht="10">
      <c r="B113" s="23" t="str">
        <f t="shared" si="16"/>
        <v/>
      </c>
      <c r="C113" s="29" t="str">
        <f t="shared" si="15"/>
        <v/>
      </c>
      <c r="D113" s="24"/>
      <c r="E113" s="30"/>
      <c r="F113" s="24"/>
      <c r="G113" s="25" t="s">
        <v>117</v>
      </c>
      <c r="H113" s="83" t="str">
        <f t="shared" si="17"/>
        <v/>
      </c>
      <c r="I113" s="26">
        <f t="shared" si="11"/>
        <v>-1</v>
      </c>
      <c r="J113" s="26">
        <f t="shared" si="12"/>
        <v>-1</v>
      </c>
      <c r="K113" s="27" t="str">
        <f t="shared" si="18"/>
        <v/>
      </c>
      <c r="L113" s="28" t="str">
        <f t="shared" si="13"/>
        <v/>
      </c>
      <c r="M113" s="23" t="str">
        <f t="shared" si="14"/>
        <v/>
      </c>
    </row>
    <row r="114" spans="2:13" s="86" customFormat="1" ht="10">
      <c r="B114" s="23" t="str">
        <f t="shared" si="16"/>
        <v/>
      </c>
      <c r="C114" s="29" t="str">
        <f t="shared" si="15"/>
        <v/>
      </c>
      <c r="D114" s="24"/>
      <c r="E114" s="30"/>
      <c r="F114" s="24"/>
      <c r="G114" s="25"/>
      <c r="H114" s="83" t="str">
        <f t="shared" si="17"/>
        <v/>
      </c>
      <c r="I114" s="26">
        <f t="shared" si="11"/>
        <v>-1</v>
      </c>
      <c r="J114" s="26">
        <f t="shared" si="12"/>
        <v>-1</v>
      </c>
      <c r="K114" s="27" t="str">
        <f t="shared" si="18"/>
        <v/>
      </c>
      <c r="L114" s="28" t="str">
        <f t="shared" si="13"/>
        <v/>
      </c>
      <c r="M114" s="23" t="str">
        <f t="shared" si="14"/>
        <v/>
      </c>
    </row>
    <row r="115" spans="2:13" s="86" customFormat="1" ht="10">
      <c r="B115" s="23" t="str">
        <f t="shared" si="16"/>
        <v/>
      </c>
      <c r="C115" s="29" t="str">
        <f t="shared" si="15"/>
        <v/>
      </c>
      <c r="D115" s="24"/>
      <c r="E115" s="30"/>
      <c r="F115" s="24"/>
      <c r="G115" s="25" t="s">
        <v>117</v>
      </c>
      <c r="H115" s="83" t="str">
        <f t="shared" si="17"/>
        <v/>
      </c>
      <c r="I115" s="26">
        <f t="shared" si="11"/>
        <v>-1</v>
      </c>
      <c r="J115" s="26">
        <f t="shared" si="12"/>
        <v>-1</v>
      </c>
      <c r="K115" s="27" t="str">
        <f t="shared" si="18"/>
        <v/>
      </c>
      <c r="L115" s="28" t="str">
        <f t="shared" si="13"/>
        <v/>
      </c>
      <c r="M115" s="23" t="str">
        <f t="shared" si="14"/>
        <v/>
      </c>
    </row>
    <row r="116" spans="2:13" s="86" customFormat="1" ht="10">
      <c r="B116" s="23" t="str">
        <f t="shared" si="16"/>
        <v/>
      </c>
      <c r="C116" s="29" t="str">
        <f t="shared" si="15"/>
        <v/>
      </c>
      <c r="D116" s="24"/>
      <c r="E116" s="30"/>
      <c r="F116" s="24"/>
      <c r="G116" s="25" t="s">
        <v>117</v>
      </c>
      <c r="H116" s="83" t="str">
        <f t="shared" si="17"/>
        <v/>
      </c>
      <c r="I116" s="26">
        <f t="shared" si="11"/>
        <v>-1</v>
      </c>
      <c r="J116" s="26">
        <f t="shared" si="12"/>
        <v>-1</v>
      </c>
      <c r="K116" s="27" t="str">
        <f t="shared" si="18"/>
        <v/>
      </c>
      <c r="L116" s="28" t="str">
        <f t="shared" si="13"/>
        <v/>
      </c>
      <c r="M116" s="23" t="str">
        <f t="shared" si="14"/>
        <v/>
      </c>
    </row>
    <row r="117" spans="2:13" s="86" customFormat="1" ht="10">
      <c r="B117" s="23" t="str">
        <f t="shared" si="16"/>
        <v/>
      </c>
      <c r="C117" s="29" t="str">
        <f t="shared" si="15"/>
        <v/>
      </c>
      <c r="D117" s="24"/>
      <c r="E117" s="30"/>
      <c r="F117" s="24"/>
      <c r="G117" s="25" t="s">
        <v>117</v>
      </c>
      <c r="H117" s="83" t="str">
        <f t="shared" si="17"/>
        <v/>
      </c>
      <c r="I117" s="26">
        <f t="shared" si="11"/>
        <v>-1</v>
      </c>
      <c r="J117" s="26">
        <f t="shared" si="12"/>
        <v>-1</v>
      </c>
      <c r="K117" s="27" t="str">
        <f t="shared" si="18"/>
        <v/>
      </c>
      <c r="L117" s="28" t="str">
        <f t="shared" si="13"/>
        <v/>
      </c>
      <c r="M117" s="23" t="str">
        <f t="shared" si="14"/>
        <v/>
      </c>
    </row>
    <row r="118" spans="2:13" s="86" customFormat="1" ht="10">
      <c r="B118" s="23" t="str">
        <f t="shared" si="16"/>
        <v/>
      </c>
      <c r="C118" s="29" t="str">
        <f t="shared" si="15"/>
        <v/>
      </c>
      <c r="D118" s="24"/>
      <c r="E118" s="30"/>
      <c r="F118" s="24"/>
      <c r="G118" s="25"/>
      <c r="H118" s="83" t="str">
        <f t="shared" si="17"/>
        <v/>
      </c>
      <c r="I118" s="26">
        <f t="shared" si="11"/>
        <v>-1</v>
      </c>
      <c r="J118" s="26">
        <f t="shared" si="12"/>
        <v>-1</v>
      </c>
      <c r="K118" s="27" t="str">
        <f t="shared" si="18"/>
        <v/>
      </c>
      <c r="L118" s="28" t="str">
        <f t="shared" si="13"/>
        <v/>
      </c>
      <c r="M118" s="23" t="str">
        <f t="shared" si="14"/>
        <v/>
      </c>
    </row>
    <row r="119" spans="2:13" s="86" customFormat="1" ht="10">
      <c r="B119" s="23" t="str">
        <f t="shared" si="16"/>
        <v/>
      </c>
      <c r="C119" s="29" t="str">
        <f t="shared" si="15"/>
        <v/>
      </c>
      <c r="D119" s="24"/>
      <c r="E119" s="30"/>
      <c r="F119" s="24"/>
      <c r="G119" s="25" t="s">
        <v>117</v>
      </c>
      <c r="H119" s="83" t="str">
        <f t="shared" si="17"/>
        <v/>
      </c>
      <c r="I119" s="26">
        <f t="shared" si="11"/>
        <v>-1</v>
      </c>
      <c r="J119" s="26">
        <f t="shared" si="12"/>
        <v>-1</v>
      </c>
      <c r="K119" s="27" t="str">
        <f t="shared" si="18"/>
        <v/>
      </c>
      <c r="L119" s="28" t="str">
        <f t="shared" si="13"/>
        <v/>
      </c>
      <c r="M119" s="23" t="str">
        <f t="shared" si="14"/>
        <v/>
      </c>
    </row>
    <row r="120" spans="2:13" s="86" customFormat="1" ht="10">
      <c r="B120" s="23" t="str">
        <f t="shared" si="16"/>
        <v/>
      </c>
      <c r="C120" s="29" t="str">
        <f t="shared" si="15"/>
        <v/>
      </c>
      <c r="D120" s="24"/>
      <c r="E120" s="30"/>
      <c r="F120" s="24"/>
      <c r="G120" s="25" t="s">
        <v>117</v>
      </c>
      <c r="H120" s="83" t="str">
        <f t="shared" si="17"/>
        <v/>
      </c>
      <c r="I120" s="26">
        <f t="shared" si="11"/>
        <v>-1</v>
      </c>
      <c r="J120" s="26">
        <f t="shared" si="12"/>
        <v>-1</v>
      </c>
      <c r="K120" s="27" t="str">
        <f t="shared" si="18"/>
        <v/>
      </c>
      <c r="L120" s="28" t="str">
        <f t="shared" si="13"/>
        <v/>
      </c>
      <c r="M120" s="23" t="str">
        <f t="shared" si="14"/>
        <v/>
      </c>
    </row>
    <row r="121" spans="2:13" s="86" customFormat="1" ht="10">
      <c r="B121" s="23" t="str">
        <f t="shared" si="16"/>
        <v/>
      </c>
      <c r="C121" s="29" t="str">
        <f t="shared" si="15"/>
        <v/>
      </c>
      <c r="D121" s="24"/>
      <c r="E121" s="30"/>
      <c r="F121" s="24"/>
      <c r="G121" s="25" t="s">
        <v>117</v>
      </c>
      <c r="H121" s="83" t="str">
        <f t="shared" si="17"/>
        <v/>
      </c>
      <c r="I121" s="26">
        <f t="shared" si="11"/>
        <v>-1</v>
      </c>
      <c r="J121" s="26">
        <f t="shared" si="12"/>
        <v>-1</v>
      </c>
      <c r="K121" s="27" t="str">
        <f t="shared" si="18"/>
        <v/>
      </c>
      <c r="L121" s="28" t="str">
        <f t="shared" si="13"/>
        <v/>
      </c>
      <c r="M121" s="23" t="str">
        <f t="shared" si="14"/>
        <v/>
      </c>
    </row>
    <row r="122" spans="2:13" s="86" customFormat="1" ht="10">
      <c r="B122" s="23" t="str">
        <f t="shared" si="16"/>
        <v/>
      </c>
      <c r="C122" s="29" t="str">
        <f t="shared" si="15"/>
        <v/>
      </c>
      <c r="D122" s="24"/>
      <c r="E122" s="30"/>
      <c r="F122" s="24"/>
      <c r="G122" s="25" t="s">
        <v>117</v>
      </c>
      <c r="H122" s="83" t="str">
        <f t="shared" si="17"/>
        <v/>
      </c>
      <c r="I122" s="26">
        <f t="shared" si="11"/>
        <v>-1</v>
      </c>
      <c r="J122" s="26">
        <f t="shared" si="12"/>
        <v>-1</v>
      </c>
      <c r="K122" s="27" t="str">
        <f t="shared" si="18"/>
        <v/>
      </c>
      <c r="L122" s="28" t="str">
        <f t="shared" si="13"/>
        <v/>
      </c>
      <c r="M122" s="23" t="str">
        <f t="shared" si="14"/>
        <v/>
      </c>
    </row>
    <row r="123" spans="2:13" s="86" customFormat="1" ht="10">
      <c r="B123" s="23" t="str">
        <f t="shared" si="16"/>
        <v/>
      </c>
      <c r="C123" s="29" t="str">
        <f t="shared" si="15"/>
        <v/>
      </c>
      <c r="D123" s="24"/>
      <c r="E123" s="30"/>
      <c r="F123" s="24"/>
      <c r="G123" s="25" t="s">
        <v>117</v>
      </c>
      <c r="H123" s="83" t="str">
        <f t="shared" si="17"/>
        <v/>
      </c>
      <c r="I123" s="26">
        <f t="shared" si="11"/>
        <v>-1</v>
      </c>
      <c r="J123" s="26">
        <f t="shared" si="12"/>
        <v>-1</v>
      </c>
      <c r="K123" s="27" t="str">
        <f t="shared" si="18"/>
        <v/>
      </c>
      <c r="L123" s="28" t="str">
        <f t="shared" si="13"/>
        <v/>
      </c>
      <c r="M123" s="23" t="str">
        <f t="shared" si="14"/>
        <v/>
      </c>
    </row>
    <row r="124" spans="2:13" s="81" customFormat="1" ht="10">
      <c r="B124" s="23" t="str">
        <f>IF(D124="","",B123+1)</f>
        <v/>
      </c>
      <c r="C124" s="29" t="str">
        <f>IF((D124&lt;&gt;0),C$14+(D124/1440),"")</f>
        <v/>
      </c>
      <c r="D124" s="24"/>
      <c r="E124" s="30"/>
      <c r="F124" s="24"/>
      <c r="G124" s="25" t="s">
        <v>117</v>
      </c>
      <c r="H124" s="83" t="str">
        <f>IF(E124&lt;&gt;"",ABS(E124-watertable),"")</f>
        <v/>
      </c>
      <c r="I124" s="26">
        <f t="shared" si="11"/>
        <v>-1</v>
      </c>
      <c r="J124" s="26">
        <f t="shared" si="12"/>
        <v>-1</v>
      </c>
      <c r="K124" s="27" t="str">
        <f>IF(E124&lt;&gt;"",slope*LN(D124)+intercept,"")</f>
        <v/>
      </c>
      <c r="L124" s="28" t="str">
        <f>IF((M124="yes"),IF(E124&lt;&gt;"",ABS((K124-H124)/J124*100),""),"")</f>
        <v/>
      </c>
      <c r="M124" s="23" t="str">
        <f>IF(u_0.05&gt;D124,"","yes")</f>
        <v/>
      </c>
    </row>
    <row r="125" spans="2:13" s="81" customFormat="1" ht="10">
      <c r="B125" s="23" t="str">
        <f t="shared" ref="B125:B168" si="19">IF(D125="","",B124+1)</f>
        <v/>
      </c>
      <c r="C125" s="29" t="str">
        <f t="shared" ref="C125:C168" si="20">IF((D125&lt;&gt;0),C$14+(D125/1440),"")</f>
        <v/>
      </c>
      <c r="D125" s="24"/>
      <c r="E125" s="30"/>
      <c r="F125" s="24"/>
      <c r="G125" s="25" t="s">
        <v>117</v>
      </c>
      <c r="H125" s="83" t="str">
        <f t="shared" ref="H125:H168" si="21">IF(E125&lt;&gt;"",ABS(E125-watertable),"")</f>
        <v/>
      </c>
      <c r="I125" s="26">
        <f t="shared" si="11"/>
        <v>-1</v>
      </c>
      <c r="J125" s="26">
        <f t="shared" si="12"/>
        <v>-1</v>
      </c>
      <c r="K125" s="27" t="str">
        <f t="shared" ref="K125:K168" si="22">IF(E125&lt;&gt;"",slope*LN(D125)+intercept,"")</f>
        <v/>
      </c>
      <c r="L125" s="28" t="str">
        <f t="shared" ref="L125:L168" si="23">IF((M125="yes"),IF(E125&lt;&gt;"",ABS((K125-H125)/J125*100),""),"")</f>
        <v/>
      </c>
      <c r="M125" s="23" t="str">
        <f t="shared" ref="M125:M168" si="24">IF(u_0.05&gt;D125,"","yes")</f>
        <v/>
      </c>
    </row>
    <row r="126" spans="2:13" s="81" customFormat="1" ht="10.25" customHeight="1">
      <c r="B126" s="31" t="str">
        <f t="shared" si="19"/>
        <v/>
      </c>
      <c r="C126" s="32" t="str">
        <f t="shared" si="20"/>
        <v/>
      </c>
      <c r="D126" s="33"/>
      <c r="E126" s="34"/>
      <c r="F126" s="33" t="s">
        <v>117</v>
      </c>
      <c r="G126" s="35"/>
      <c r="H126" s="87" t="str">
        <f t="shared" si="21"/>
        <v/>
      </c>
      <c r="I126" s="26">
        <f t="shared" si="11"/>
        <v>-1</v>
      </c>
      <c r="J126" s="26">
        <f t="shared" si="12"/>
        <v>-1</v>
      </c>
      <c r="K126" s="36" t="str">
        <f t="shared" si="22"/>
        <v/>
      </c>
      <c r="L126" s="37" t="str">
        <f t="shared" si="23"/>
        <v/>
      </c>
      <c r="M126" s="31" t="str">
        <f t="shared" si="24"/>
        <v/>
      </c>
    </row>
    <row r="127" spans="2:13" s="81" customFormat="1" ht="10.25" customHeight="1">
      <c r="B127" s="23" t="str">
        <f t="shared" si="19"/>
        <v/>
      </c>
      <c r="C127" s="29" t="str">
        <f t="shared" si="20"/>
        <v/>
      </c>
      <c r="D127" s="24"/>
      <c r="E127" s="30"/>
      <c r="F127" s="24"/>
      <c r="G127" s="25"/>
      <c r="H127" s="83" t="str">
        <f t="shared" si="21"/>
        <v/>
      </c>
      <c r="I127" s="26">
        <f t="shared" si="11"/>
        <v>-1</v>
      </c>
      <c r="J127" s="26">
        <f t="shared" si="12"/>
        <v>-1</v>
      </c>
      <c r="K127" s="27" t="str">
        <f t="shared" si="22"/>
        <v/>
      </c>
      <c r="L127" s="28" t="str">
        <f t="shared" si="23"/>
        <v/>
      </c>
      <c r="M127" s="23" t="str">
        <f t="shared" si="24"/>
        <v/>
      </c>
    </row>
    <row r="128" spans="2:13" s="81" customFormat="1" ht="10.25" customHeight="1">
      <c r="B128" s="23" t="str">
        <f t="shared" si="19"/>
        <v/>
      </c>
      <c r="C128" s="29" t="str">
        <f t="shared" si="20"/>
        <v/>
      </c>
      <c r="D128" s="24"/>
      <c r="E128" s="30"/>
      <c r="F128" s="24"/>
      <c r="G128" s="25"/>
      <c r="H128" s="83" t="str">
        <f t="shared" si="21"/>
        <v/>
      </c>
      <c r="I128" s="26">
        <f t="shared" si="11"/>
        <v>-1</v>
      </c>
      <c r="J128" s="26">
        <f t="shared" si="12"/>
        <v>-1</v>
      </c>
      <c r="K128" s="27" t="str">
        <f t="shared" si="22"/>
        <v/>
      </c>
      <c r="L128" s="28" t="str">
        <f t="shared" si="23"/>
        <v/>
      </c>
      <c r="M128" s="23" t="str">
        <f t="shared" si="24"/>
        <v/>
      </c>
    </row>
    <row r="129" spans="2:13" s="81" customFormat="1" ht="10.25" customHeight="1">
      <c r="B129" s="23" t="str">
        <f t="shared" si="19"/>
        <v/>
      </c>
      <c r="C129" s="29" t="str">
        <f t="shared" si="20"/>
        <v/>
      </c>
      <c r="D129" s="24"/>
      <c r="E129" s="30"/>
      <c r="F129" s="24"/>
      <c r="G129" s="25"/>
      <c r="H129" s="83" t="str">
        <f t="shared" si="21"/>
        <v/>
      </c>
      <c r="I129" s="26">
        <f t="shared" si="11"/>
        <v>-1</v>
      </c>
      <c r="J129" s="26">
        <f t="shared" si="12"/>
        <v>-1</v>
      </c>
      <c r="K129" s="27" t="str">
        <f t="shared" si="22"/>
        <v/>
      </c>
      <c r="L129" s="28" t="str">
        <f t="shared" si="23"/>
        <v/>
      </c>
      <c r="M129" s="23" t="str">
        <f t="shared" si="24"/>
        <v/>
      </c>
    </row>
    <row r="130" spans="2:13" s="81" customFormat="1" ht="10.25" customHeight="1">
      <c r="B130" s="23" t="str">
        <f t="shared" si="19"/>
        <v/>
      </c>
      <c r="C130" s="29" t="str">
        <f t="shared" si="20"/>
        <v/>
      </c>
      <c r="D130" s="24"/>
      <c r="E130" s="30"/>
      <c r="F130" s="24"/>
      <c r="G130" s="25"/>
      <c r="H130" s="83" t="str">
        <f t="shared" si="21"/>
        <v/>
      </c>
      <c r="I130" s="26">
        <f t="shared" si="11"/>
        <v>-1</v>
      </c>
      <c r="J130" s="26">
        <f t="shared" si="12"/>
        <v>-1</v>
      </c>
      <c r="K130" s="27" t="str">
        <f t="shared" si="22"/>
        <v/>
      </c>
      <c r="L130" s="28" t="str">
        <f t="shared" si="23"/>
        <v/>
      </c>
      <c r="M130" s="23" t="str">
        <f t="shared" si="24"/>
        <v/>
      </c>
    </row>
    <row r="131" spans="2:13" s="81" customFormat="1" ht="10.25" customHeight="1">
      <c r="B131" s="23" t="str">
        <f t="shared" si="19"/>
        <v/>
      </c>
      <c r="C131" s="29" t="str">
        <f t="shared" si="20"/>
        <v/>
      </c>
      <c r="D131" s="24"/>
      <c r="E131" s="30"/>
      <c r="F131" s="24"/>
      <c r="G131" s="25"/>
      <c r="H131" s="83" t="str">
        <f t="shared" si="21"/>
        <v/>
      </c>
      <c r="I131" s="26">
        <f t="shared" si="11"/>
        <v>-1</v>
      </c>
      <c r="J131" s="26">
        <f t="shared" si="12"/>
        <v>-1</v>
      </c>
      <c r="K131" s="27" t="str">
        <f t="shared" si="22"/>
        <v/>
      </c>
      <c r="L131" s="28" t="str">
        <f t="shared" si="23"/>
        <v/>
      </c>
      <c r="M131" s="23" t="str">
        <f t="shared" si="24"/>
        <v/>
      </c>
    </row>
    <row r="132" spans="2:13" s="81" customFormat="1" ht="10.25" customHeight="1">
      <c r="B132" s="23" t="str">
        <f t="shared" si="19"/>
        <v/>
      </c>
      <c r="C132" s="29" t="str">
        <f t="shared" si="20"/>
        <v/>
      </c>
      <c r="D132" s="24"/>
      <c r="E132" s="30"/>
      <c r="F132" s="24"/>
      <c r="G132" s="25"/>
      <c r="H132" s="83" t="str">
        <f t="shared" si="21"/>
        <v/>
      </c>
      <c r="I132" s="26">
        <f t="shared" si="11"/>
        <v>-1</v>
      </c>
      <c r="J132" s="26">
        <f t="shared" si="12"/>
        <v>-1</v>
      </c>
      <c r="K132" s="27" t="str">
        <f t="shared" si="22"/>
        <v/>
      </c>
      <c r="L132" s="28" t="str">
        <f t="shared" si="23"/>
        <v/>
      </c>
      <c r="M132" s="23" t="str">
        <f t="shared" si="24"/>
        <v/>
      </c>
    </row>
    <row r="133" spans="2:13" s="81" customFormat="1" ht="10.25" customHeight="1">
      <c r="B133" s="23" t="str">
        <f t="shared" si="19"/>
        <v/>
      </c>
      <c r="C133" s="29" t="str">
        <f t="shared" si="20"/>
        <v/>
      </c>
      <c r="D133" s="24"/>
      <c r="E133" s="30"/>
      <c r="F133" s="24"/>
      <c r="G133" s="25"/>
      <c r="H133" s="83" t="str">
        <f t="shared" si="21"/>
        <v/>
      </c>
      <c r="I133" s="26">
        <f t="shared" si="11"/>
        <v>-1</v>
      </c>
      <c r="J133" s="26">
        <f t="shared" si="12"/>
        <v>-1</v>
      </c>
      <c r="K133" s="27" t="str">
        <f t="shared" si="22"/>
        <v/>
      </c>
      <c r="L133" s="28" t="str">
        <f t="shared" si="23"/>
        <v/>
      </c>
      <c r="M133" s="23" t="str">
        <f t="shared" si="24"/>
        <v/>
      </c>
    </row>
    <row r="134" spans="2:13" s="81" customFormat="1" ht="10.25" customHeight="1">
      <c r="B134" s="23" t="str">
        <f t="shared" si="19"/>
        <v/>
      </c>
      <c r="C134" s="29" t="str">
        <f t="shared" si="20"/>
        <v/>
      </c>
      <c r="D134" s="24"/>
      <c r="E134" s="30"/>
      <c r="F134" s="24"/>
      <c r="G134" s="25"/>
      <c r="H134" s="83" t="str">
        <f t="shared" si="21"/>
        <v/>
      </c>
      <c r="I134" s="26">
        <f t="shared" si="11"/>
        <v>-1</v>
      </c>
      <c r="J134" s="26">
        <f t="shared" si="12"/>
        <v>-1</v>
      </c>
      <c r="K134" s="27" t="str">
        <f t="shared" si="22"/>
        <v/>
      </c>
      <c r="L134" s="28" t="str">
        <f t="shared" si="23"/>
        <v/>
      </c>
      <c r="M134" s="23" t="str">
        <f t="shared" si="24"/>
        <v/>
      </c>
    </row>
    <row r="135" spans="2:13" s="81" customFormat="1" ht="10.25" customHeight="1">
      <c r="B135" s="23" t="str">
        <f t="shared" si="19"/>
        <v/>
      </c>
      <c r="C135" s="29" t="str">
        <f t="shared" si="20"/>
        <v/>
      </c>
      <c r="D135" s="24"/>
      <c r="E135" s="30"/>
      <c r="F135" s="24"/>
      <c r="G135" s="25"/>
      <c r="H135" s="83" t="str">
        <f t="shared" si="21"/>
        <v/>
      </c>
      <c r="I135" s="26">
        <f t="shared" si="11"/>
        <v>-1</v>
      </c>
      <c r="J135" s="26">
        <f t="shared" si="12"/>
        <v>-1</v>
      </c>
      <c r="K135" s="27" t="str">
        <f t="shared" si="22"/>
        <v/>
      </c>
      <c r="L135" s="28" t="str">
        <f t="shared" si="23"/>
        <v/>
      </c>
      <c r="M135" s="23" t="str">
        <f t="shared" si="24"/>
        <v/>
      </c>
    </row>
    <row r="136" spans="2:13" s="81" customFormat="1" ht="10.25" customHeight="1">
      <c r="B136" s="23" t="str">
        <f t="shared" si="19"/>
        <v/>
      </c>
      <c r="C136" s="29" t="str">
        <f t="shared" si="20"/>
        <v/>
      </c>
      <c r="D136" s="24"/>
      <c r="E136" s="30"/>
      <c r="F136" s="24"/>
      <c r="G136" s="25"/>
      <c r="H136" s="83" t="str">
        <f t="shared" si="21"/>
        <v/>
      </c>
      <c r="I136" s="26">
        <f t="shared" si="11"/>
        <v>-1</v>
      </c>
      <c r="J136" s="26">
        <f t="shared" si="12"/>
        <v>-1</v>
      </c>
      <c r="K136" s="27" t="str">
        <f t="shared" si="22"/>
        <v/>
      </c>
      <c r="L136" s="28" t="str">
        <f t="shared" si="23"/>
        <v/>
      </c>
      <c r="M136" s="23" t="str">
        <f t="shared" si="24"/>
        <v/>
      </c>
    </row>
    <row r="137" spans="2:13" s="81" customFormat="1" ht="10.25" customHeight="1">
      <c r="B137" s="23" t="str">
        <f t="shared" si="19"/>
        <v/>
      </c>
      <c r="C137" s="29" t="str">
        <f t="shared" si="20"/>
        <v/>
      </c>
      <c r="D137" s="24"/>
      <c r="E137" s="30"/>
      <c r="F137" s="24"/>
      <c r="G137" s="25"/>
      <c r="H137" s="83" t="str">
        <f t="shared" si="21"/>
        <v/>
      </c>
      <c r="I137" s="26">
        <f t="shared" si="11"/>
        <v>-1</v>
      </c>
      <c r="J137" s="26">
        <f t="shared" si="12"/>
        <v>-1</v>
      </c>
      <c r="K137" s="27" t="str">
        <f t="shared" si="22"/>
        <v/>
      </c>
      <c r="L137" s="28" t="str">
        <f t="shared" si="23"/>
        <v/>
      </c>
      <c r="M137" s="23" t="str">
        <f t="shared" si="24"/>
        <v/>
      </c>
    </row>
    <row r="138" spans="2:13" s="81" customFormat="1" ht="10.25" customHeight="1">
      <c r="B138" s="23" t="str">
        <f t="shared" si="19"/>
        <v/>
      </c>
      <c r="C138" s="29" t="str">
        <f t="shared" si="20"/>
        <v/>
      </c>
      <c r="D138" s="24"/>
      <c r="E138" s="30"/>
      <c r="F138" s="24"/>
      <c r="G138" s="25"/>
      <c r="H138" s="83" t="str">
        <f t="shared" si="21"/>
        <v/>
      </c>
      <c r="I138" s="26">
        <f t="shared" si="11"/>
        <v>-1</v>
      </c>
      <c r="J138" s="26">
        <f t="shared" si="12"/>
        <v>-1</v>
      </c>
      <c r="K138" s="27" t="str">
        <f t="shared" si="22"/>
        <v/>
      </c>
      <c r="L138" s="28" t="str">
        <f t="shared" si="23"/>
        <v/>
      </c>
      <c r="M138" s="23" t="str">
        <f t="shared" si="24"/>
        <v/>
      </c>
    </row>
    <row r="139" spans="2:13" s="81" customFormat="1" ht="10.25" customHeight="1">
      <c r="B139" s="23" t="str">
        <f t="shared" si="19"/>
        <v/>
      </c>
      <c r="C139" s="29" t="str">
        <f t="shared" si="20"/>
        <v/>
      </c>
      <c r="D139" s="24"/>
      <c r="E139" s="30"/>
      <c r="F139" s="24"/>
      <c r="G139" s="25"/>
      <c r="H139" s="83" t="str">
        <f t="shared" si="21"/>
        <v/>
      </c>
      <c r="I139" s="26">
        <f t="shared" si="11"/>
        <v>-1</v>
      </c>
      <c r="J139" s="26">
        <f t="shared" si="12"/>
        <v>-1</v>
      </c>
      <c r="K139" s="27" t="str">
        <f t="shared" si="22"/>
        <v/>
      </c>
      <c r="L139" s="28" t="str">
        <f t="shared" si="23"/>
        <v/>
      </c>
      <c r="M139" s="23" t="str">
        <f t="shared" si="24"/>
        <v/>
      </c>
    </row>
    <row r="140" spans="2:13" s="81" customFormat="1" ht="10.25" customHeight="1">
      <c r="B140" s="23" t="str">
        <f t="shared" si="19"/>
        <v/>
      </c>
      <c r="C140" s="29" t="str">
        <f t="shared" si="20"/>
        <v/>
      </c>
      <c r="D140" s="24"/>
      <c r="E140" s="30"/>
      <c r="F140" s="24"/>
      <c r="G140" s="25"/>
      <c r="H140" s="83" t="str">
        <f t="shared" si="21"/>
        <v/>
      </c>
      <c r="I140" s="26">
        <f t="shared" si="11"/>
        <v>-1</v>
      </c>
      <c r="J140" s="26">
        <f t="shared" si="12"/>
        <v>-1</v>
      </c>
      <c r="K140" s="27" t="str">
        <f t="shared" si="22"/>
        <v/>
      </c>
      <c r="L140" s="28" t="str">
        <f t="shared" si="23"/>
        <v/>
      </c>
      <c r="M140" s="23" t="str">
        <f t="shared" si="24"/>
        <v/>
      </c>
    </row>
    <row r="141" spans="2:13" s="81" customFormat="1" ht="10.25" customHeight="1">
      <c r="B141" s="23" t="str">
        <f t="shared" si="19"/>
        <v/>
      </c>
      <c r="C141" s="29" t="str">
        <f t="shared" si="20"/>
        <v/>
      </c>
      <c r="D141" s="24"/>
      <c r="E141" s="30"/>
      <c r="F141" s="24"/>
      <c r="G141" s="25"/>
      <c r="H141" s="83" t="str">
        <f t="shared" si="21"/>
        <v/>
      </c>
      <c r="I141" s="26">
        <f t="shared" si="11"/>
        <v>-1</v>
      </c>
      <c r="J141" s="26">
        <f t="shared" si="12"/>
        <v>-1</v>
      </c>
      <c r="K141" s="27" t="str">
        <f t="shared" si="22"/>
        <v/>
      </c>
      <c r="L141" s="28" t="str">
        <f t="shared" si="23"/>
        <v/>
      </c>
      <c r="M141" s="23" t="str">
        <f t="shared" si="24"/>
        <v/>
      </c>
    </row>
    <row r="142" spans="2:13" s="81" customFormat="1" ht="10.25" customHeight="1">
      <c r="B142" s="23" t="str">
        <f t="shared" si="19"/>
        <v/>
      </c>
      <c r="C142" s="29" t="str">
        <f t="shared" si="20"/>
        <v/>
      </c>
      <c r="D142" s="24"/>
      <c r="E142" s="30"/>
      <c r="F142" s="24"/>
      <c r="G142" s="25"/>
      <c r="H142" s="83" t="str">
        <f t="shared" si="21"/>
        <v/>
      </c>
      <c r="I142" s="26">
        <f t="shared" ref="I142:I201" si="25">IF((M142="")*AND(H142=""),-1,IF((M142=""),H142,-1))</f>
        <v>-1</v>
      </c>
      <c r="J142" s="26">
        <f t="shared" ref="J142:J201" si="26">IF((M142="yes")*AND(H142=""),-1,IF((M142="yes"),H142,-1))</f>
        <v>-1</v>
      </c>
      <c r="K142" s="27" t="str">
        <f t="shared" si="22"/>
        <v/>
      </c>
      <c r="L142" s="28" t="str">
        <f t="shared" si="23"/>
        <v/>
      </c>
      <c r="M142" s="23" t="str">
        <f t="shared" si="24"/>
        <v/>
      </c>
    </row>
    <row r="143" spans="2:13" s="81" customFormat="1" ht="10.25" customHeight="1">
      <c r="B143" s="23" t="str">
        <f t="shared" si="19"/>
        <v/>
      </c>
      <c r="C143" s="29" t="str">
        <f t="shared" si="20"/>
        <v/>
      </c>
      <c r="D143" s="24"/>
      <c r="E143" s="30"/>
      <c r="F143" s="24"/>
      <c r="G143" s="25"/>
      <c r="H143" s="83" t="str">
        <f t="shared" si="21"/>
        <v/>
      </c>
      <c r="I143" s="26">
        <f t="shared" si="25"/>
        <v>-1</v>
      </c>
      <c r="J143" s="26">
        <f t="shared" si="26"/>
        <v>-1</v>
      </c>
      <c r="K143" s="27" t="str">
        <f t="shared" si="22"/>
        <v/>
      </c>
      <c r="L143" s="28" t="str">
        <f t="shared" si="23"/>
        <v/>
      </c>
      <c r="M143" s="23" t="str">
        <f t="shared" si="24"/>
        <v/>
      </c>
    </row>
    <row r="144" spans="2:13" s="81" customFormat="1" ht="10.25" customHeight="1">
      <c r="B144" s="23" t="str">
        <f t="shared" si="19"/>
        <v/>
      </c>
      <c r="C144" s="29" t="str">
        <f t="shared" si="20"/>
        <v/>
      </c>
      <c r="D144" s="24"/>
      <c r="E144" s="30"/>
      <c r="F144" s="24"/>
      <c r="G144" s="25"/>
      <c r="H144" s="83" t="str">
        <f t="shared" si="21"/>
        <v/>
      </c>
      <c r="I144" s="26">
        <f t="shared" si="25"/>
        <v>-1</v>
      </c>
      <c r="J144" s="26">
        <f t="shared" si="26"/>
        <v>-1</v>
      </c>
      <c r="K144" s="27" t="str">
        <f t="shared" si="22"/>
        <v/>
      </c>
      <c r="L144" s="28" t="str">
        <f t="shared" si="23"/>
        <v/>
      </c>
      <c r="M144" s="23" t="str">
        <f t="shared" si="24"/>
        <v/>
      </c>
    </row>
    <row r="145" spans="2:13" s="81" customFormat="1" ht="10.25" customHeight="1">
      <c r="B145" s="23" t="str">
        <f t="shared" si="19"/>
        <v/>
      </c>
      <c r="C145" s="29" t="str">
        <f t="shared" si="20"/>
        <v/>
      </c>
      <c r="D145" s="24"/>
      <c r="E145" s="30"/>
      <c r="F145" s="24"/>
      <c r="G145" s="25"/>
      <c r="H145" s="83" t="str">
        <f t="shared" si="21"/>
        <v/>
      </c>
      <c r="I145" s="26">
        <f t="shared" si="25"/>
        <v>-1</v>
      </c>
      <c r="J145" s="26">
        <f t="shared" si="26"/>
        <v>-1</v>
      </c>
      <c r="K145" s="27" t="str">
        <f t="shared" si="22"/>
        <v/>
      </c>
      <c r="L145" s="28" t="str">
        <f t="shared" si="23"/>
        <v/>
      </c>
      <c r="M145" s="23" t="str">
        <f t="shared" si="24"/>
        <v/>
      </c>
    </row>
    <row r="146" spans="2:13" s="81" customFormat="1" ht="10.25" customHeight="1">
      <c r="B146" s="23" t="str">
        <f t="shared" si="19"/>
        <v/>
      </c>
      <c r="C146" s="29" t="str">
        <f t="shared" si="20"/>
        <v/>
      </c>
      <c r="D146" s="24"/>
      <c r="E146" s="30"/>
      <c r="F146" s="24"/>
      <c r="G146" s="25"/>
      <c r="H146" s="83" t="str">
        <f t="shared" si="21"/>
        <v/>
      </c>
      <c r="I146" s="26">
        <f t="shared" si="25"/>
        <v>-1</v>
      </c>
      <c r="J146" s="26">
        <f t="shared" si="26"/>
        <v>-1</v>
      </c>
      <c r="K146" s="27" t="str">
        <f t="shared" si="22"/>
        <v/>
      </c>
      <c r="L146" s="28" t="str">
        <f t="shared" si="23"/>
        <v/>
      </c>
      <c r="M146" s="23" t="str">
        <f t="shared" si="24"/>
        <v/>
      </c>
    </row>
    <row r="147" spans="2:13" s="81" customFormat="1" ht="10.25" customHeight="1">
      <c r="B147" s="23" t="str">
        <f t="shared" si="19"/>
        <v/>
      </c>
      <c r="C147" s="29" t="str">
        <f t="shared" si="20"/>
        <v/>
      </c>
      <c r="D147" s="24"/>
      <c r="E147" s="30"/>
      <c r="F147" s="24"/>
      <c r="G147" s="25"/>
      <c r="H147" s="83" t="str">
        <f t="shared" si="21"/>
        <v/>
      </c>
      <c r="I147" s="26">
        <f t="shared" si="25"/>
        <v>-1</v>
      </c>
      <c r="J147" s="26">
        <f t="shared" si="26"/>
        <v>-1</v>
      </c>
      <c r="K147" s="27" t="str">
        <f t="shared" si="22"/>
        <v/>
      </c>
      <c r="L147" s="28" t="str">
        <f t="shared" si="23"/>
        <v/>
      </c>
      <c r="M147" s="23" t="str">
        <f t="shared" si="24"/>
        <v/>
      </c>
    </row>
    <row r="148" spans="2:13" s="81" customFormat="1" ht="10.25" customHeight="1">
      <c r="B148" s="23" t="str">
        <f t="shared" si="19"/>
        <v/>
      </c>
      <c r="C148" s="29" t="str">
        <f t="shared" si="20"/>
        <v/>
      </c>
      <c r="D148" s="24"/>
      <c r="E148" s="30"/>
      <c r="F148" s="24"/>
      <c r="G148" s="25"/>
      <c r="H148" s="83" t="str">
        <f t="shared" si="21"/>
        <v/>
      </c>
      <c r="I148" s="26">
        <f t="shared" si="25"/>
        <v>-1</v>
      </c>
      <c r="J148" s="26">
        <f t="shared" si="26"/>
        <v>-1</v>
      </c>
      <c r="K148" s="27" t="str">
        <f t="shared" si="22"/>
        <v/>
      </c>
      <c r="L148" s="28" t="str">
        <f t="shared" si="23"/>
        <v/>
      </c>
      <c r="M148" s="23" t="str">
        <f t="shared" si="24"/>
        <v/>
      </c>
    </row>
    <row r="149" spans="2:13" s="81" customFormat="1" ht="10.25" customHeight="1">
      <c r="B149" s="23" t="str">
        <f t="shared" si="19"/>
        <v/>
      </c>
      <c r="C149" s="29" t="str">
        <f t="shared" si="20"/>
        <v/>
      </c>
      <c r="D149" s="24"/>
      <c r="E149" s="30"/>
      <c r="F149" s="24"/>
      <c r="G149" s="25"/>
      <c r="H149" s="83" t="str">
        <f t="shared" si="21"/>
        <v/>
      </c>
      <c r="I149" s="26">
        <f t="shared" si="25"/>
        <v>-1</v>
      </c>
      <c r="J149" s="26">
        <f t="shared" si="26"/>
        <v>-1</v>
      </c>
      <c r="K149" s="27" t="str">
        <f t="shared" si="22"/>
        <v/>
      </c>
      <c r="L149" s="28" t="str">
        <f t="shared" si="23"/>
        <v/>
      </c>
      <c r="M149" s="23" t="str">
        <f t="shared" si="24"/>
        <v/>
      </c>
    </row>
    <row r="150" spans="2:13" s="81" customFormat="1" ht="10.25" customHeight="1">
      <c r="B150" s="23" t="str">
        <f t="shared" si="19"/>
        <v/>
      </c>
      <c r="C150" s="29" t="str">
        <f t="shared" si="20"/>
        <v/>
      </c>
      <c r="D150" s="24"/>
      <c r="E150" s="30"/>
      <c r="F150" s="24"/>
      <c r="G150" s="25"/>
      <c r="H150" s="83" t="str">
        <f t="shared" si="21"/>
        <v/>
      </c>
      <c r="I150" s="26">
        <f t="shared" si="25"/>
        <v>-1</v>
      </c>
      <c r="J150" s="26">
        <f t="shared" si="26"/>
        <v>-1</v>
      </c>
      <c r="K150" s="27" t="str">
        <f t="shared" si="22"/>
        <v/>
      </c>
      <c r="L150" s="28" t="str">
        <f t="shared" si="23"/>
        <v/>
      </c>
      <c r="M150" s="23" t="str">
        <f t="shared" si="24"/>
        <v/>
      </c>
    </row>
    <row r="151" spans="2:13" s="81" customFormat="1" ht="10.25" customHeight="1">
      <c r="B151" s="23" t="str">
        <f t="shared" si="19"/>
        <v/>
      </c>
      <c r="C151" s="29" t="str">
        <f t="shared" si="20"/>
        <v/>
      </c>
      <c r="D151" s="24"/>
      <c r="E151" s="30"/>
      <c r="F151" s="24"/>
      <c r="G151" s="25"/>
      <c r="H151" s="83" t="str">
        <f t="shared" si="21"/>
        <v/>
      </c>
      <c r="I151" s="26">
        <f t="shared" si="25"/>
        <v>-1</v>
      </c>
      <c r="J151" s="26">
        <f t="shared" si="26"/>
        <v>-1</v>
      </c>
      <c r="K151" s="27" t="str">
        <f t="shared" si="22"/>
        <v/>
      </c>
      <c r="L151" s="28" t="str">
        <f t="shared" si="23"/>
        <v/>
      </c>
      <c r="M151" s="23" t="str">
        <f t="shared" si="24"/>
        <v/>
      </c>
    </row>
    <row r="152" spans="2:13" s="81" customFormat="1" ht="10.25" customHeight="1">
      <c r="B152" s="23" t="str">
        <f t="shared" si="19"/>
        <v/>
      </c>
      <c r="C152" s="29" t="str">
        <f t="shared" si="20"/>
        <v/>
      </c>
      <c r="D152" s="24"/>
      <c r="E152" s="30"/>
      <c r="F152" s="24"/>
      <c r="G152" s="25"/>
      <c r="H152" s="83" t="str">
        <f t="shared" si="21"/>
        <v/>
      </c>
      <c r="I152" s="26">
        <f t="shared" si="25"/>
        <v>-1</v>
      </c>
      <c r="J152" s="26">
        <f t="shared" si="26"/>
        <v>-1</v>
      </c>
      <c r="K152" s="27" t="str">
        <f t="shared" si="22"/>
        <v/>
      </c>
      <c r="L152" s="28" t="str">
        <f t="shared" si="23"/>
        <v/>
      </c>
      <c r="M152" s="23" t="str">
        <f t="shared" si="24"/>
        <v/>
      </c>
    </row>
    <row r="153" spans="2:13" s="81" customFormat="1" ht="10.25" customHeight="1">
      <c r="B153" s="23" t="str">
        <f t="shared" si="19"/>
        <v/>
      </c>
      <c r="C153" s="29" t="str">
        <f t="shared" si="20"/>
        <v/>
      </c>
      <c r="D153" s="24"/>
      <c r="E153" s="30"/>
      <c r="F153" s="24"/>
      <c r="G153" s="25"/>
      <c r="H153" s="83" t="str">
        <f t="shared" si="21"/>
        <v/>
      </c>
      <c r="I153" s="26">
        <f t="shared" si="25"/>
        <v>-1</v>
      </c>
      <c r="J153" s="26">
        <f t="shared" si="26"/>
        <v>-1</v>
      </c>
      <c r="K153" s="27" t="str">
        <f t="shared" si="22"/>
        <v/>
      </c>
      <c r="L153" s="28" t="str">
        <f t="shared" si="23"/>
        <v/>
      </c>
      <c r="M153" s="23" t="str">
        <f t="shared" si="24"/>
        <v/>
      </c>
    </row>
    <row r="154" spans="2:13" s="81" customFormat="1" ht="10.25" customHeight="1">
      <c r="B154" s="23" t="str">
        <f t="shared" si="19"/>
        <v/>
      </c>
      <c r="C154" s="29" t="str">
        <f t="shared" si="20"/>
        <v/>
      </c>
      <c r="D154" s="24"/>
      <c r="E154" s="30"/>
      <c r="F154" s="24"/>
      <c r="G154" s="25"/>
      <c r="H154" s="83" t="str">
        <f t="shared" si="21"/>
        <v/>
      </c>
      <c r="I154" s="26">
        <f t="shared" si="25"/>
        <v>-1</v>
      </c>
      <c r="J154" s="26">
        <f t="shared" si="26"/>
        <v>-1</v>
      </c>
      <c r="K154" s="27" t="str">
        <f t="shared" si="22"/>
        <v/>
      </c>
      <c r="L154" s="28" t="str">
        <f t="shared" si="23"/>
        <v/>
      </c>
      <c r="M154" s="23" t="str">
        <f t="shared" si="24"/>
        <v/>
      </c>
    </row>
    <row r="155" spans="2:13" s="81" customFormat="1" ht="10.25" customHeight="1">
      <c r="B155" s="23" t="str">
        <f t="shared" si="19"/>
        <v/>
      </c>
      <c r="C155" s="29" t="str">
        <f t="shared" si="20"/>
        <v/>
      </c>
      <c r="D155" s="24"/>
      <c r="E155" s="30"/>
      <c r="F155" s="24"/>
      <c r="G155" s="25"/>
      <c r="H155" s="83" t="str">
        <f t="shared" si="21"/>
        <v/>
      </c>
      <c r="I155" s="26">
        <f t="shared" si="25"/>
        <v>-1</v>
      </c>
      <c r="J155" s="26">
        <f t="shared" si="26"/>
        <v>-1</v>
      </c>
      <c r="K155" s="27" t="str">
        <f t="shared" si="22"/>
        <v/>
      </c>
      <c r="L155" s="28" t="str">
        <f t="shared" si="23"/>
        <v/>
      </c>
      <c r="M155" s="23" t="str">
        <f t="shared" si="24"/>
        <v/>
      </c>
    </row>
    <row r="156" spans="2:13" s="81" customFormat="1" ht="10.25" customHeight="1">
      <c r="B156" s="23" t="str">
        <f t="shared" si="19"/>
        <v/>
      </c>
      <c r="C156" s="29" t="str">
        <f t="shared" si="20"/>
        <v/>
      </c>
      <c r="D156" s="24"/>
      <c r="E156" s="30"/>
      <c r="F156" s="24"/>
      <c r="G156" s="25"/>
      <c r="H156" s="83" t="str">
        <f t="shared" si="21"/>
        <v/>
      </c>
      <c r="I156" s="26">
        <f t="shared" si="25"/>
        <v>-1</v>
      </c>
      <c r="J156" s="26">
        <f t="shared" si="26"/>
        <v>-1</v>
      </c>
      <c r="K156" s="27" t="str">
        <f t="shared" si="22"/>
        <v/>
      </c>
      <c r="L156" s="28" t="str">
        <f t="shared" si="23"/>
        <v/>
      </c>
      <c r="M156" s="23" t="str">
        <f t="shared" si="24"/>
        <v/>
      </c>
    </row>
    <row r="157" spans="2:13" s="81" customFormat="1" ht="10.25" customHeight="1">
      <c r="B157" s="23" t="str">
        <f t="shared" si="19"/>
        <v/>
      </c>
      <c r="C157" s="29" t="str">
        <f t="shared" si="20"/>
        <v/>
      </c>
      <c r="D157" s="24"/>
      <c r="E157" s="30"/>
      <c r="F157" s="24"/>
      <c r="G157" s="25"/>
      <c r="H157" s="83" t="str">
        <f t="shared" si="21"/>
        <v/>
      </c>
      <c r="I157" s="26">
        <f t="shared" si="25"/>
        <v>-1</v>
      </c>
      <c r="J157" s="26">
        <f t="shared" si="26"/>
        <v>-1</v>
      </c>
      <c r="K157" s="27" t="str">
        <f t="shared" si="22"/>
        <v/>
      </c>
      <c r="L157" s="28" t="str">
        <f t="shared" si="23"/>
        <v/>
      </c>
      <c r="M157" s="23" t="str">
        <f t="shared" si="24"/>
        <v/>
      </c>
    </row>
    <row r="158" spans="2:13" s="81" customFormat="1" ht="10.25" customHeight="1">
      <c r="B158" s="23" t="str">
        <f t="shared" si="19"/>
        <v/>
      </c>
      <c r="C158" s="29" t="str">
        <f t="shared" si="20"/>
        <v/>
      </c>
      <c r="D158" s="24"/>
      <c r="E158" s="30"/>
      <c r="F158" s="24"/>
      <c r="G158" s="25"/>
      <c r="H158" s="83" t="str">
        <f t="shared" si="21"/>
        <v/>
      </c>
      <c r="I158" s="26">
        <f t="shared" si="25"/>
        <v>-1</v>
      </c>
      <c r="J158" s="26">
        <f t="shared" si="26"/>
        <v>-1</v>
      </c>
      <c r="K158" s="27" t="str">
        <f t="shared" si="22"/>
        <v/>
      </c>
      <c r="L158" s="28" t="str">
        <f t="shared" si="23"/>
        <v/>
      </c>
      <c r="M158" s="23" t="str">
        <f t="shared" si="24"/>
        <v/>
      </c>
    </row>
    <row r="159" spans="2:13" s="81" customFormat="1" ht="10.25" customHeight="1">
      <c r="B159" s="23" t="str">
        <f t="shared" si="19"/>
        <v/>
      </c>
      <c r="C159" s="29" t="str">
        <f t="shared" si="20"/>
        <v/>
      </c>
      <c r="D159" s="24"/>
      <c r="E159" s="30"/>
      <c r="F159" s="24"/>
      <c r="G159" s="25"/>
      <c r="H159" s="83" t="str">
        <f t="shared" si="21"/>
        <v/>
      </c>
      <c r="I159" s="26">
        <f t="shared" si="25"/>
        <v>-1</v>
      </c>
      <c r="J159" s="26">
        <f t="shared" si="26"/>
        <v>-1</v>
      </c>
      <c r="K159" s="27" t="str">
        <f t="shared" si="22"/>
        <v/>
      </c>
      <c r="L159" s="28" t="str">
        <f t="shared" si="23"/>
        <v/>
      </c>
      <c r="M159" s="23" t="str">
        <f t="shared" si="24"/>
        <v/>
      </c>
    </row>
    <row r="160" spans="2:13" s="81" customFormat="1" ht="10.25" customHeight="1">
      <c r="B160" s="23" t="str">
        <f t="shared" si="19"/>
        <v/>
      </c>
      <c r="C160" s="29" t="str">
        <f t="shared" si="20"/>
        <v/>
      </c>
      <c r="D160" s="24"/>
      <c r="E160" s="30"/>
      <c r="F160" s="24"/>
      <c r="G160" s="25"/>
      <c r="H160" s="83" t="str">
        <f t="shared" si="21"/>
        <v/>
      </c>
      <c r="I160" s="26">
        <f t="shared" si="25"/>
        <v>-1</v>
      </c>
      <c r="J160" s="26">
        <f t="shared" si="26"/>
        <v>-1</v>
      </c>
      <c r="K160" s="27" t="str">
        <f t="shared" si="22"/>
        <v/>
      </c>
      <c r="L160" s="28" t="str">
        <f t="shared" si="23"/>
        <v/>
      </c>
      <c r="M160" s="23" t="str">
        <f t="shared" si="24"/>
        <v/>
      </c>
    </row>
    <row r="161" spans="2:13" s="81" customFormat="1" ht="10.25" customHeight="1">
      <c r="B161" s="23" t="str">
        <f t="shared" si="19"/>
        <v/>
      </c>
      <c r="C161" s="29" t="str">
        <f t="shared" si="20"/>
        <v/>
      </c>
      <c r="D161" s="24"/>
      <c r="E161" s="30"/>
      <c r="F161" s="24"/>
      <c r="G161" s="25"/>
      <c r="H161" s="83" t="str">
        <f t="shared" si="21"/>
        <v/>
      </c>
      <c r="I161" s="26">
        <f t="shared" si="25"/>
        <v>-1</v>
      </c>
      <c r="J161" s="26">
        <f t="shared" si="26"/>
        <v>-1</v>
      </c>
      <c r="K161" s="27" t="str">
        <f t="shared" si="22"/>
        <v/>
      </c>
      <c r="L161" s="28" t="str">
        <f t="shared" si="23"/>
        <v/>
      </c>
      <c r="M161" s="23" t="str">
        <f t="shared" si="24"/>
        <v/>
      </c>
    </row>
    <row r="162" spans="2:13" s="81" customFormat="1" ht="10.25" customHeight="1">
      <c r="B162" s="23" t="str">
        <f t="shared" si="19"/>
        <v/>
      </c>
      <c r="C162" s="29" t="str">
        <f t="shared" si="20"/>
        <v/>
      </c>
      <c r="D162" s="24"/>
      <c r="E162" s="30"/>
      <c r="F162" s="24"/>
      <c r="G162" s="25"/>
      <c r="H162" s="83" t="str">
        <f t="shared" si="21"/>
        <v/>
      </c>
      <c r="I162" s="26">
        <f t="shared" si="25"/>
        <v>-1</v>
      </c>
      <c r="J162" s="26">
        <f t="shared" si="26"/>
        <v>-1</v>
      </c>
      <c r="K162" s="27" t="str">
        <f t="shared" si="22"/>
        <v/>
      </c>
      <c r="L162" s="28" t="str">
        <f t="shared" si="23"/>
        <v/>
      </c>
      <c r="M162" s="23" t="str">
        <f t="shared" si="24"/>
        <v/>
      </c>
    </row>
    <row r="163" spans="2:13" s="81" customFormat="1" ht="10.25" customHeight="1">
      <c r="B163" s="23" t="str">
        <f t="shared" si="19"/>
        <v/>
      </c>
      <c r="C163" s="29" t="str">
        <f t="shared" si="20"/>
        <v/>
      </c>
      <c r="D163" s="24"/>
      <c r="E163" s="30"/>
      <c r="F163" s="24"/>
      <c r="G163" s="25"/>
      <c r="H163" s="83" t="str">
        <f t="shared" si="21"/>
        <v/>
      </c>
      <c r="I163" s="26">
        <f t="shared" si="25"/>
        <v>-1</v>
      </c>
      <c r="J163" s="26">
        <f t="shared" si="26"/>
        <v>-1</v>
      </c>
      <c r="K163" s="27" t="str">
        <f t="shared" si="22"/>
        <v/>
      </c>
      <c r="L163" s="28" t="str">
        <f t="shared" si="23"/>
        <v/>
      </c>
      <c r="M163" s="23" t="str">
        <f t="shared" si="24"/>
        <v/>
      </c>
    </row>
    <row r="164" spans="2:13" s="81" customFormat="1" ht="10.25" customHeight="1">
      <c r="B164" s="23" t="str">
        <f t="shared" si="19"/>
        <v/>
      </c>
      <c r="C164" s="29" t="str">
        <f t="shared" si="20"/>
        <v/>
      </c>
      <c r="D164" s="24"/>
      <c r="E164" s="30"/>
      <c r="F164" s="24"/>
      <c r="G164" s="25"/>
      <c r="H164" s="83" t="str">
        <f t="shared" si="21"/>
        <v/>
      </c>
      <c r="I164" s="26">
        <f t="shared" si="25"/>
        <v>-1</v>
      </c>
      <c r="J164" s="26">
        <f t="shared" si="26"/>
        <v>-1</v>
      </c>
      <c r="K164" s="27" t="str">
        <f t="shared" si="22"/>
        <v/>
      </c>
      <c r="L164" s="28" t="str">
        <f t="shared" si="23"/>
        <v/>
      </c>
      <c r="M164" s="23" t="str">
        <f t="shared" si="24"/>
        <v/>
      </c>
    </row>
    <row r="165" spans="2:13" s="81" customFormat="1" ht="10.25" customHeight="1">
      <c r="B165" s="23" t="str">
        <f t="shared" si="19"/>
        <v/>
      </c>
      <c r="C165" s="29" t="str">
        <f t="shared" si="20"/>
        <v/>
      </c>
      <c r="D165" s="24"/>
      <c r="E165" s="30"/>
      <c r="F165" s="24"/>
      <c r="G165" s="25"/>
      <c r="H165" s="83" t="str">
        <f t="shared" si="21"/>
        <v/>
      </c>
      <c r="I165" s="26">
        <f t="shared" si="25"/>
        <v>-1</v>
      </c>
      <c r="J165" s="26">
        <f t="shared" si="26"/>
        <v>-1</v>
      </c>
      <c r="K165" s="27" t="str">
        <f t="shared" si="22"/>
        <v/>
      </c>
      <c r="L165" s="28" t="str">
        <f t="shared" si="23"/>
        <v/>
      </c>
      <c r="M165" s="23" t="str">
        <f t="shared" si="24"/>
        <v/>
      </c>
    </row>
    <row r="166" spans="2:13" s="81" customFormat="1" ht="10.25" customHeight="1">
      <c r="B166" s="23" t="str">
        <f t="shared" si="19"/>
        <v/>
      </c>
      <c r="C166" s="29" t="str">
        <f t="shared" si="20"/>
        <v/>
      </c>
      <c r="D166" s="24"/>
      <c r="E166" s="30"/>
      <c r="F166" s="24"/>
      <c r="G166" s="25"/>
      <c r="H166" s="83" t="str">
        <f t="shared" si="21"/>
        <v/>
      </c>
      <c r="I166" s="26">
        <f t="shared" si="25"/>
        <v>-1</v>
      </c>
      <c r="J166" s="26">
        <f t="shared" si="26"/>
        <v>-1</v>
      </c>
      <c r="K166" s="27" t="str">
        <f t="shared" si="22"/>
        <v/>
      </c>
      <c r="L166" s="28" t="str">
        <f t="shared" si="23"/>
        <v/>
      </c>
      <c r="M166" s="23" t="str">
        <f t="shared" si="24"/>
        <v/>
      </c>
    </row>
    <row r="167" spans="2:13" s="81" customFormat="1" ht="10.25" customHeight="1">
      <c r="B167" s="23" t="str">
        <f t="shared" si="19"/>
        <v/>
      </c>
      <c r="C167" s="29" t="str">
        <f t="shared" si="20"/>
        <v/>
      </c>
      <c r="D167" s="24"/>
      <c r="E167" s="30"/>
      <c r="F167" s="24"/>
      <c r="G167" s="25"/>
      <c r="H167" s="83" t="str">
        <f t="shared" si="21"/>
        <v/>
      </c>
      <c r="I167" s="26">
        <f t="shared" si="25"/>
        <v>-1</v>
      </c>
      <c r="J167" s="26">
        <f t="shared" si="26"/>
        <v>-1</v>
      </c>
      <c r="K167" s="27" t="str">
        <f t="shared" si="22"/>
        <v/>
      </c>
      <c r="L167" s="28" t="str">
        <f t="shared" si="23"/>
        <v/>
      </c>
      <c r="M167" s="23" t="str">
        <f t="shared" si="24"/>
        <v/>
      </c>
    </row>
    <row r="168" spans="2:13" s="81" customFormat="1" ht="10.25" customHeight="1">
      <c r="B168" s="23" t="str">
        <f t="shared" si="19"/>
        <v/>
      </c>
      <c r="C168" s="29" t="str">
        <f t="shared" si="20"/>
        <v/>
      </c>
      <c r="D168" s="24"/>
      <c r="E168" s="30"/>
      <c r="F168" s="24"/>
      <c r="G168" s="25"/>
      <c r="H168" s="83" t="str">
        <f t="shared" si="21"/>
        <v/>
      </c>
      <c r="I168" s="26">
        <f t="shared" si="25"/>
        <v>-1</v>
      </c>
      <c r="J168" s="26">
        <f t="shared" si="26"/>
        <v>-1</v>
      </c>
      <c r="K168" s="27" t="str">
        <f t="shared" si="22"/>
        <v/>
      </c>
      <c r="L168" s="28" t="str">
        <f t="shared" si="23"/>
        <v/>
      </c>
      <c r="M168" s="23" t="str">
        <f t="shared" si="24"/>
        <v/>
      </c>
    </row>
    <row r="169" spans="2:13" ht="10.25" customHeight="1">
      <c r="B169" s="23" t="str">
        <f t="shared" ref="B169:B194" si="27">IF(D169="","",B168+1)</f>
        <v/>
      </c>
      <c r="C169" s="29" t="str">
        <f t="shared" ref="C169:C194" si="28">IF((D169&lt;&gt;0),C$14+(D169/1440),"")</f>
        <v/>
      </c>
      <c r="D169" s="24"/>
      <c r="E169" s="30"/>
      <c r="F169" s="24"/>
      <c r="G169" s="25"/>
      <c r="H169" s="83" t="str">
        <f t="shared" ref="H169:H194" si="29">IF(E169&lt;&gt;"",ABS(E169-watertable),"")</f>
        <v/>
      </c>
      <c r="I169" s="26">
        <f t="shared" si="25"/>
        <v>-1</v>
      </c>
      <c r="J169" s="26">
        <f t="shared" si="26"/>
        <v>-1</v>
      </c>
      <c r="K169" s="27" t="str">
        <f t="shared" ref="K169:K194" si="30">IF(E169&lt;&gt;"",slope*LN(D169)+intercept,"")</f>
        <v/>
      </c>
      <c r="L169" s="28" t="str">
        <f t="shared" ref="L169:L194" si="31">IF((M169="yes"),IF(E169&lt;&gt;"",ABS((K169-H169)/J169*100),""),"")</f>
        <v/>
      </c>
      <c r="M169" s="23" t="str">
        <f t="shared" ref="M169:M194" si="32">IF(u_0.05&gt;D169,"","yes")</f>
        <v/>
      </c>
    </row>
    <row r="170" spans="2:13" ht="10.25" customHeight="1">
      <c r="B170" s="23" t="str">
        <f t="shared" si="27"/>
        <v/>
      </c>
      <c r="C170" s="29" t="str">
        <f t="shared" si="28"/>
        <v/>
      </c>
      <c r="D170" s="24"/>
      <c r="E170" s="30"/>
      <c r="F170" s="24"/>
      <c r="G170" s="25"/>
      <c r="H170" s="83" t="str">
        <f t="shared" si="29"/>
        <v/>
      </c>
      <c r="I170" s="26">
        <f t="shared" si="25"/>
        <v>-1</v>
      </c>
      <c r="J170" s="26">
        <f t="shared" si="26"/>
        <v>-1</v>
      </c>
      <c r="K170" s="27" t="str">
        <f t="shared" si="30"/>
        <v/>
      </c>
      <c r="L170" s="28" t="str">
        <f t="shared" si="31"/>
        <v/>
      </c>
      <c r="M170" s="23" t="str">
        <f t="shared" si="32"/>
        <v/>
      </c>
    </row>
    <row r="171" spans="2:13" ht="10.25" customHeight="1">
      <c r="B171" s="23" t="str">
        <f t="shared" si="27"/>
        <v/>
      </c>
      <c r="C171" s="29" t="str">
        <f t="shared" si="28"/>
        <v/>
      </c>
      <c r="D171" s="24"/>
      <c r="E171" s="30"/>
      <c r="F171" s="24"/>
      <c r="G171" s="25"/>
      <c r="H171" s="83" t="str">
        <f t="shared" si="29"/>
        <v/>
      </c>
      <c r="I171" s="26">
        <f t="shared" si="25"/>
        <v>-1</v>
      </c>
      <c r="J171" s="26">
        <f t="shared" si="26"/>
        <v>-1</v>
      </c>
      <c r="K171" s="27" t="str">
        <f t="shared" si="30"/>
        <v/>
      </c>
      <c r="L171" s="28" t="str">
        <f t="shared" si="31"/>
        <v/>
      </c>
      <c r="M171" s="23" t="str">
        <f t="shared" si="32"/>
        <v/>
      </c>
    </row>
    <row r="172" spans="2:13" ht="10.25" customHeight="1">
      <c r="B172" s="23" t="str">
        <f t="shared" si="27"/>
        <v/>
      </c>
      <c r="C172" s="29" t="str">
        <f t="shared" si="28"/>
        <v/>
      </c>
      <c r="D172" s="24"/>
      <c r="E172" s="30"/>
      <c r="F172" s="24"/>
      <c r="G172" s="25"/>
      <c r="H172" s="83" t="str">
        <f t="shared" si="29"/>
        <v/>
      </c>
      <c r="I172" s="26">
        <f t="shared" si="25"/>
        <v>-1</v>
      </c>
      <c r="J172" s="26">
        <f t="shared" si="26"/>
        <v>-1</v>
      </c>
      <c r="K172" s="27" t="str">
        <f t="shared" si="30"/>
        <v/>
      </c>
      <c r="L172" s="28" t="str">
        <f t="shared" si="31"/>
        <v/>
      </c>
      <c r="M172" s="23" t="str">
        <f t="shared" si="32"/>
        <v/>
      </c>
    </row>
    <row r="173" spans="2:13" ht="10.25" customHeight="1">
      <c r="B173" s="23" t="str">
        <f t="shared" si="27"/>
        <v/>
      </c>
      <c r="C173" s="29" t="str">
        <f t="shared" si="28"/>
        <v/>
      </c>
      <c r="D173" s="24"/>
      <c r="E173" s="30"/>
      <c r="F173" s="24"/>
      <c r="G173" s="25"/>
      <c r="H173" s="83" t="str">
        <f t="shared" si="29"/>
        <v/>
      </c>
      <c r="I173" s="26">
        <f t="shared" si="25"/>
        <v>-1</v>
      </c>
      <c r="J173" s="26">
        <f t="shared" si="26"/>
        <v>-1</v>
      </c>
      <c r="K173" s="27" t="str">
        <f t="shared" si="30"/>
        <v/>
      </c>
      <c r="L173" s="28" t="str">
        <f t="shared" si="31"/>
        <v/>
      </c>
      <c r="M173" s="23" t="str">
        <f t="shared" si="32"/>
        <v/>
      </c>
    </row>
    <row r="174" spans="2:13" ht="10.25" customHeight="1">
      <c r="B174" s="23" t="str">
        <f t="shared" si="27"/>
        <v/>
      </c>
      <c r="C174" s="29" t="str">
        <f t="shared" si="28"/>
        <v/>
      </c>
      <c r="D174" s="24"/>
      <c r="E174" s="30"/>
      <c r="F174" s="24"/>
      <c r="G174" s="25"/>
      <c r="H174" s="83" t="str">
        <f t="shared" si="29"/>
        <v/>
      </c>
      <c r="I174" s="26">
        <f t="shared" si="25"/>
        <v>-1</v>
      </c>
      <c r="J174" s="26">
        <f t="shared" si="26"/>
        <v>-1</v>
      </c>
      <c r="K174" s="27" t="str">
        <f t="shared" si="30"/>
        <v/>
      </c>
      <c r="L174" s="28" t="str">
        <f t="shared" si="31"/>
        <v/>
      </c>
      <c r="M174" s="23" t="str">
        <f t="shared" si="32"/>
        <v/>
      </c>
    </row>
    <row r="175" spans="2:13" ht="10.25" customHeight="1">
      <c r="B175" s="23" t="str">
        <f t="shared" si="27"/>
        <v/>
      </c>
      <c r="C175" s="29" t="str">
        <f t="shared" si="28"/>
        <v/>
      </c>
      <c r="D175" s="24"/>
      <c r="E175" s="30"/>
      <c r="F175" s="24"/>
      <c r="G175" s="25"/>
      <c r="H175" s="83" t="str">
        <f t="shared" si="29"/>
        <v/>
      </c>
      <c r="I175" s="26">
        <f t="shared" si="25"/>
        <v>-1</v>
      </c>
      <c r="J175" s="26">
        <f t="shared" si="26"/>
        <v>-1</v>
      </c>
      <c r="K175" s="27" t="str">
        <f t="shared" si="30"/>
        <v/>
      </c>
      <c r="L175" s="28" t="str">
        <f t="shared" si="31"/>
        <v/>
      </c>
      <c r="M175" s="23" t="str">
        <f t="shared" si="32"/>
        <v/>
      </c>
    </row>
    <row r="176" spans="2:13" ht="10.25" customHeight="1">
      <c r="B176" s="23" t="str">
        <f t="shared" si="27"/>
        <v/>
      </c>
      <c r="C176" s="29" t="str">
        <f t="shared" si="28"/>
        <v/>
      </c>
      <c r="D176" s="24"/>
      <c r="E176" s="30"/>
      <c r="F176" s="24"/>
      <c r="G176" s="25"/>
      <c r="H176" s="83" t="str">
        <f t="shared" si="29"/>
        <v/>
      </c>
      <c r="I176" s="26">
        <f t="shared" si="25"/>
        <v>-1</v>
      </c>
      <c r="J176" s="26">
        <f t="shared" si="26"/>
        <v>-1</v>
      </c>
      <c r="K176" s="27" t="str">
        <f t="shared" si="30"/>
        <v/>
      </c>
      <c r="L176" s="28" t="str">
        <f t="shared" si="31"/>
        <v/>
      </c>
      <c r="M176" s="23" t="str">
        <f t="shared" si="32"/>
        <v/>
      </c>
    </row>
    <row r="177" spans="2:13" ht="10.25" customHeight="1">
      <c r="B177" s="23" t="str">
        <f t="shared" si="27"/>
        <v/>
      </c>
      <c r="C177" s="29" t="str">
        <f t="shared" si="28"/>
        <v/>
      </c>
      <c r="D177" s="24"/>
      <c r="E177" s="30"/>
      <c r="F177" s="24"/>
      <c r="G177" s="25"/>
      <c r="H177" s="83" t="str">
        <f t="shared" si="29"/>
        <v/>
      </c>
      <c r="I177" s="26">
        <f t="shared" si="25"/>
        <v>-1</v>
      </c>
      <c r="J177" s="26">
        <f t="shared" si="26"/>
        <v>-1</v>
      </c>
      <c r="K177" s="27" t="str">
        <f t="shared" si="30"/>
        <v/>
      </c>
      <c r="L177" s="28" t="str">
        <f t="shared" si="31"/>
        <v/>
      </c>
      <c r="M177" s="23" t="str">
        <f t="shared" si="32"/>
        <v/>
      </c>
    </row>
    <row r="178" spans="2:13" ht="10.25" customHeight="1">
      <c r="B178" s="23" t="str">
        <f t="shared" si="27"/>
        <v/>
      </c>
      <c r="C178" s="29" t="str">
        <f t="shared" si="28"/>
        <v/>
      </c>
      <c r="D178" s="24"/>
      <c r="E178" s="30"/>
      <c r="F178" s="24"/>
      <c r="G178" s="25"/>
      <c r="H178" s="83" t="str">
        <f t="shared" si="29"/>
        <v/>
      </c>
      <c r="I178" s="26">
        <f t="shared" si="25"/>
        <v>-1</v>
      </c>
      <c r="J178" s="26">
        <f t="shared" si="26"/>
        <v>-1</v>
      </c>
      <c r="K178" s="27" t="str">
        <f t="shared" si="30"/>
        <v/>
      </c>
      <c r="L178" s="28" t="str">
        <f t="shared" si="31"/>
        <v/>
      </c>
      <c r="M178" s="23" t="str">
        <f t="shared" si="32"/>
        <v/>
      </c>
    </row>
    <row r="179" spans="2:13" ht="10.25" customHeight="1">
      <c r="B179" s="23" t="str">
        <f t="shared" si="27"/>
        <v/>
      </c>
      <c r="C179" s="29" t="str">
        <f t="shared" si="28"/>
        <v/>
      </c>
      <c r="D179" s="24"/>
      <c r="E179" s="30"/>
      <c r="F179" s="24"/>
      <c r="G179" s="25"/>
      <c r="H179" s="83" t="str">
        <f t="shared" si="29"/>
        <v/>
      </c>
      <c r="I179" s="26">
        <f t="shared" si="25"/>
        <v>-1</v>
      </c>
      <c r="J179" s="26">
        <f t="shared" si="26"/>
        <v>-1</v>
      </c>
      <c r="K179" s="27" t="str">
        <f t="shared" si="30"/>
        <v/>
      </c>
      <c r="L179" s="28" t="str">
        <f t="shared" si="31"/>
        <v/>
      </c>
      <c r="M179" s="23" t="str">
        <f t="shared" si="32"/>
        <v/>
      </c>
    </row>
    <row r="180" spans="2:13" ht="10.25" customHeight="1">
      <c r="B180" s="23" t="str">
        <f t="shared" si="27"/>
        <v/>
      </c>
      <c r="C180" s="29" t="str">
        <f t="shared" si="28"/>
        <v/>
      </c>
      <c r="D180" s="24"/>
      <c r="E180" s="30"/>
      <c r="F180" s="24"/>
      <c r="G180" s="25"/>
      <c r="H180" s="83" t="str">
        <f t="shared" si="29"/>
        <v/>
      </c>
      <c r="I180" s="26">
        <f t="shared" si="25"/>
        <v>-1</v>
      </c>
      <c r="J180" s="26">
        <f t="shared" si="26"/>
        <v>-1</v>
      </c>
      <c r="K180" s="27" t="str">
        <f t="shared" si="30"/>
        <v/>
      </c>
      <c r="L180" s="28" t="str">
        <f t="shared" si="31"/>
        <v/>
      </c>
      <c r="M180" s="23" t="str">
        <f t="shared" si="32"/>
        <v/>
      </c>
    </row>
    <row r="181" spans="2:13" ht="10.25" customHeight="1">
      <c r="B181" s="23" t="str">
        <f t="shared" si="27"/>
        <v/>
      </c>
      <c r="C181" s="29" t="str">
        <f t="shared" si="28"/>
        <v/>
      </c>
      <c r="D181" s="24"/>
      <c r="E181" s="30"/>
      <c r="F181" s="24"/>
      <c r="G181" s="25"/>
      <c r="H181" s="83" t="str">
        <f t="shared" si="29"/>
        <v/>
      </c>
      <c r="I181" s="26">
        <f t="shared" si="25"/>
        <v>-1</v>
      </c>
      <c r="J181" s="26">
        <f t="shared" si="26"/>
        <v>-1</v>
      </c>
      <c r="K181" s="27" t="str">
        <f t="shared" si="30"/>
        <v/>
      </c>
      <c r="L181" s="28" t="str">
        <f t="shared" si="31"/>
        <v/>
      </c>
      <c r="M181" s="23" t="str">
        <f t="shared" si="32"/>
        <v/>
      </c>
    </row>
    <row r="182" spans="2:13" ht="10.25" customHeight="1">
      <c r="B182" s="23" t="str">
        <f t="shared" si="27"/>
        <v/>
      </c>
      <c r="C182" s="29" t="str">
        <f t="shared" si="28"/>
        <v/>
      </c>
      <c r="D182" s="24"/>
      <c r="E182" s="30"/>
      <c r="F182" s="24"/>
      <c r="G182" s="25"/>
      <c r="H182" s="83" t="str">
        <f t="shared" si="29"/>
        <v/>
      </c>
      <c r="I182" s="26">
        <f t="shared" si="25"/>
        <v>-1</v>
      </c>
      <c r="J182" s="26">
        <f t="shared" si="26"/>
        <v>-1</v>
      </c>
      <c r="K182" s="27" t="str">
        <f t="shared" si="30"/>
        <v/>
      </c>
      <c r="L182" s="28" t="str">
        <f t="shared" si="31"/>
        <v/>
      </c>
      <c r="M182" s="23" t="str">
        <f t="shared" si="32"/>
        <v/>
      </c>
    </row>
    <row r="183" spans="2:13" ht="10.25" customHeight="1">
      <c r="B183" s="23" t="str">
        <f t="shared" si="27"/>
        <v/>
      </c>
      <c r="C183" s="29" t="str">
        <f t="shared" si="28"/>
        <v/>
      </c>
      <c r="D183" s="24"/>
      <c r="E183" s="30"/>
      <c r="F183" s="24"/>
      <c r="G183" s="25"/>
      <c r="H183" s="83" t="str">
        <f t="shared" si="29"/>
        <v/>
      </c>
      <c r="I183" s="26">
        <f t="shared" si="25"/>
        <v>-1</v>
      </c>
      <c r="J183" s="26">
        <f t="shared" si="26"/>
        <v>-1</v>
      </c>
      <c r="K183" s="27" t="str">
        <f t="shared" si="30"/>
        <v/>
      </c>
      <c r="L183" s="28" t="str">
        <f t="shared" si="31"/>
        <v/>
      </c>
      <c r="M183" s="23" t="str">
        <f t="shared" si="32"/>
        <v/>
      </c>
    </row>
    <row r="184" spans="2:13" ht="10.25" customHeight="1">
      <c r="B184" s="23" t="str">
        <f t="shared" si="27"/>
        <v/>
      </c>
      <c r="C184" s="29" t="str">
        <f t="shared" si="28"/>
        <v/>
      </c>
      <c r="D184" s="24"/>
      <c r="E184" s="30"/>
      <c r="F184" s="24"/>
      <c r="G184" s="25"/>
      <c r="H184" s="83" t="str">
        <f t="shared" si="29"/>
        <v/>
      </c>
      <c r="I184" s="26">
        <f t="shared" si="25"/>
        <v>-1</v>
      </c>
      <c r="J184" s="26">
        <f t="shared" si="26"/>
        <v>-1</v>
      </c>
      <c r="K184" s="27" t="str">
        <f t="shared" si="30"/>
        <v/>
      </c>
      <c r="L184" s="28" t="str">
        <f t="shared" si="31"/>
        <v/>
      </c>
      <c r="M184" s="23" t="str">
        <f t="shared" si="32"/>
        <v/>
      </c>
    </row>
    <row r="185" spans="2:13" ht="10.25" customHeight="1">
      <c r="B185" s="23" t="str">
        <f t="shared" si="27"/>
        <v/>
      </c>
      <c r="C185" s="29" t="str">
        <f t="shared" si="28"/>
        <v/>
      </c>
      <c r="D185" s="24"/>
      <c r="E185" s="30"/>
      <c r="F185" s="24"/>
      <c r="G185" s="25"/>
      <c r="H185" s="83" t="str">
        <f t="shared" si="29"/>
        <v/>
      </c>
      <c r="I185" s="26">
        <f t="shared" si="25"/>
        <v>-1</v>
      </c>
      <c r="J185" s="26">
        <f t="shared" si="26"/>
        <v>-1</v>
      </c>
      <c r="K185" s="27" t="str">
        <f t="shared" si="30"/>
        <v/>
      </c>
      <c r="L185" s="28" t="str">
        <f t="shared" si="31"/>
        <v/>
      </c>
      <c r="M185" s="23" t="str">
        <f t="shared" si="32"/>
        <v/>
      </c>
    </row>
    <row r="186" spans="2:13" ht="10.25" customHeight="1">
      <c r="B186" s="23" t="str">
        <f t="shared" si="27"/>
        <v/>
      </c>
      <c r="C186" s="29" t="str">
        <f t="shared" si="28"/>
        <v/>
      </c>
      <c r="D186" s="24"/>
      <c r="E186" s="30"/>
      <c r="F186" s="24"/>
      <c r="G186" s="25"/>
      <c r="H186" s="83" t="str">
        <f t="shared" si="29"/>
        <v/>
      </c>
      <c r="I186" s="26">
        <f t="shared" si="25"/>
        <v>-1</v>
      </c>
      <c r="J186" s="26">
        <f t="shared" si="26"/>
        <v>-1</v>
      </c>
      <c r="K186" s="27" t="str">
        <f t="shared" si="30"/>
        <v/>
      </c>
      <c r="L186" s="28" t="str">
        <f t="shared" si="31"/>
        <v/>
      </c>
      <c r="M186" s="23" t="str">
        <f t="shared" si="32"/>
        <v/>
      </c>
    </row>
    <row r="187" spans="2:13" ht="10.25" customHeight="1">
      <c r="B187" s="23" t="str">
        <f t="shared" si="27"/>
        <v/>
      </c>
      <c r="C187" s="29" t="str">
        <f t="shared" si="28"/>
        <v/>
      </c>
      <c r="D187" s="24"/>
      <c r="E187" s="30"/>
      <c r="F187" s="24"/>
      <c r="G187" s="25"/>
      <c r="H187" s="83" t="str">
        <f t="shared" si="29"/>
        <v/>
      </c>
      <c r="I187" s="26">
        <f t="shared" si="25"/>
        <v>-1</v>
      </c>
      <c r="J187" s="26">
        <f t="shared" si="26"/>
        <v>-1</v>
      </c>
      <c r="K187" s="27" t="str">
        <f t="shared" si="30"/>
        <v/>
      </c>
      <c r="L187" s="28" t="str">
        <f t="shared" si="31"/>
        <v/>
      </c>
      <c r="M187" s="23" t="str">
        <f t="shared" si="32"/>
        <v/>
      </c>
    </row>
    <row r="188" spans="2:13" ht="10.25" customHeight="1">
      <c r="B188" s="23" t="str">
        <f t="shared" si="27"/>
        <v/>
      </c>
      <c r="C188" s="29" t="str">
        <f t="shared" si="28"/>
        <v/>
      </c>
      <c r="D188" s="24"/>
      <c r="E188" s="30"/>
      <c r="F188" s="24"/>
      <c r="G188" s="25"/>
      <c r="H188" s="83" t="str">
        <f t="shared" si="29"/>
        <v/>
      </c>
      <c r="I188" s="26">
        <f t="shared" si="25"/>
        <v>-1</v>
      </c>
      <c r="J188" s="26">
        <f t="shared" si="26"/>
        <v>-1</v>
      </c>
      <c r="K188" s="27" t="str">
        <f t="shared" si="30"/>
        <v/>
      </c>
      <c r="L188" s="28" t="str">
        <f t="shared" si="31"/>
        <v/>
      </c>
      <c r="M188" s="23" t="str">
        <f t="shared" si="32"/>
        <v/>
      </c>
    </row>
    <row r="189" spans="2:13" ht="10.25" customHeight="1">
      <c r="B189" s="23" t="str">
        <f t="shared" si="27"/>
        <v/>
      </c>
      <c r="C189" s="29" t="str">
        <f t="shared" si="28"/>
        <v/>
      </c>
      <c r="D189" s="24"/>
      <c r="E189" s="30"/>
      <c r="F189" s="24"/>
      <c r="G189" s="25"/>
      <c r="H189" s="83" t="str">
        <f t="shared" si="29"/>
        <v/>
      </c>
      <c r="I189" s="26">
        <f t="shared" si="25"/>
        <v>-1</v>
      </c>
      <c r="J189" s="26">
        <f t="shared" si="26"/>
        <v>-1</v>
      </c>
      <c r="K189" s="27" t="str">
        <f t="shared" si="30"/>
        <v/>
      </c>
      <c r="L189" s="28" t="str">
        <f t="shared" si="31"/>
        <v/>
      </c>
      <c r="M189" s="23" t="str">
        <f t="shared" si="32"/>
        <v/>
      </c>
    </row>
    <row r="190" spans="2:13" ht="10.25" customHeight="1">
      <c r="B190" s="23" t="str">
        <f t="shared" si="27"/>
        <v/>
      </c>
      <c r="C190" s="29" t="str">
        <f t="shared" si="28"/>
        <v/>
      </c>
      <c r="D190" s="24"/>
      <c r="E190" s="30"/>
      <c r="F190" s="24"/>
      <c r="G190" s="25"/>
      <c r="H190" s="83" t="str">
        <f t="shared" si="29"/>
        <v/>
      </c>
      <c r="I190" s="26">
        <f t="shared" si="25"/>
        <v>-1</v>
      </c>
      <c r="J190" s="26">
        <f t="shared" si="26"/>
        <v>-1</v>
      </c>
      <c r="K190" s="27" t="str">
        <f t="shared" si="30"/>
        <v/>
      </c>
      <c r="L190" s="28" t="str">
        <f t="shared" si="31"/>
        <v/>
      </c>
      <c r="M190" s="23" t="str">
        <f t="shared" si="32"/>
        <v/>
      </c>
    </row>
    <row r="191" spans="2:13" ht="10.25" customHeight="1">
      <c r="B191" s="23" t="str">
        <f t="shared" si="27"/>
        <v/>
      </c>
      <c r="C191" s="29" t="str">
        <f t="shared" si="28"/>
        <v/>
      </c>
      <c r="D191" s="24"/>
      <c r="E191" s="30"/>
      <c r="F191" s="24"/>
      <c r="G191" s="25"/>
      <c r="H191" s="83" t="str">
        <f t="shared" si="29"/>
        <v/>
      </c>
      <c r="I191" s="26">
        <f t="shared" si="25"/>
        <v>-1</v>
      </c>
      <c r="J191" s="26">
        <f t="shared" si="26"/>
        <v>-1</v>
      </c>
      <c r="K191" s="27" t="str">
        <f t="shared" si="30"/>
        <v/>
      </c>
      <c r="L191" s="28" t="str">
        <f t="shared" si="31"/>
        <v/>
      </c>
      <c r="M191" s="23" t="str">
        <f t="shared" si="32"/>
        <v/>
      </c>
    </row>
    <row r="192" spans="2:13" ht="10.25" customHeight="1">
      <c r="B192" s="23" t="str">
        <f t="shared" si="27"/>
        <v/>
      </c>
      <c r="C192" s="29" t="str">
        <f t="shared" si="28"/>
        <v/>
      </c>
      <c r="D192" s="24"/>
      <c r="E192" s="30"/>
      <c r="F192" s="24"/>
      <c r="G192" s="25"/>
      <c r="H192" s="83" t="str">
        <f t="shared" si="29"/>
        <v/>
      </c>
      <c r="I192" s="26">
        <f t="shared" si="25"/>
        <v>-1</v>
      </c>
      <c r="J192" s="26">
        <f t="shared" si="26"/>
        <v>-1</v>
      </c>
      <c r="K192" s="27" t="str">
        <f t="shared" si="30"/>
        <v/>
      </c>
      <c r="L192" s="28" t="str">
        <f t="shared" si="31"/>
        <v/>
      </c>
      <c r="M192" s="23" t="str">
        <f t="shared" si="32"/>
        <v/>
      </c>
    </row>
    <row r="193" spans="2:13" ht="10.25" customHeight="1">
      <c r="B193" s="23" t="str">
        <f t="shared" si="27"/>
        <v/>
      </c>
      <c r="C193" s="29" t="str">
        <f t="shared" si="28"/>
        <v/>
      </c>
      <c r="D193" s="24"/>
      <c r="E193" s="30"/>
      <c r="F193" s="24"/>
      <c r="G193" s="25"/>
      <c r="H193" s="83" t="str">
        <f t="shared" si="29"/>
        <v/>
      </c>
      <c r="I193" s="26">
        <f t="shared" si="25"/>
        <v>-1</v>
      </c>
      <c r="J193" s="26">
        <f t="shared" si="26"/>
        <v>-1</v>
      </c>
      <c r="K193" s="27" t="str">
        <f t="shared" si="30"/>
        <v/>
      </c>
      <c r="L193" s="28" t="str">
        <f t="shared" si="31"/>
        <v/>
      </c>
      <c r="M193" s="23" t="str">
        <f t="shared" si="32"/>
        <v/>
      </c>
    </row>
    <row r="194" spans="2:13" ht="10.25" customHeight="1">
      <c r="B194" s="23" t="str">
        <f t="shared" si="27"/>
        <v/>
      </c>
      <c r="C194" s="29" t="str">
        <f t="shared" si="28"/>
        <v/>
      </c>
      <c r="D194" s="24"/>
      <c r="E194" s="30"/>
      <c r="F194" s="24"/>
      <c r="G194" s="25"/>
      <c r="H194" s="83" t="str">
        <f t="shared" si="29"/>
        <v/>
      </c>
      <c r="I194" s="26">
        <f t="shared" si="25"/>
        <v>-1</v>
      </c>
      <c r="J194" s="26">
        <f t="shared" si="26"/>
        <v>-1</v>
      </c>
      <c r="K194" s="27" t="str">
        <f t="shared" si="30"/>
        <v/>
      </c>
      <c r="L194" s="28" t="str">
        <f t="shared" si="31"/>
        <v/>
      </c>
      <c r="M194" s="23" t="str">
        <f t="shared" si="32"/>
        <v/>
      </c>
    </row>
    <row r="195" spans="2:13" ht="10.25" customHeight="1">
      <c r="B195" s="23" t="str">
        <f t="shared" ref="B195:B201" si="33">IF(D195="","",B194+1)</f>
        <v/>
      </c>
      <c r="C195" s="29" t="str">
        <f t="shared" ref="C195:C201" si="34">IF((D195&lt;&gt;0),C$14+(D195/1440),"")</f>
        <v/>
      </c>
      <c r="D195" s="24"/>
      <c r="E195" s="30"/>
      <c r="F195" s="24"/>
      <c r="G195" s="25"/>
      <c r="H195" s="83" t="str">
        <f t="shared" ref="H195:H201" si="35">IF(E195&lt;&gt;"",ABS(E195-watertable),"")</f>
        <v/>
      </c>
      <c r="I195" s="26">
        <f t="shared" si="25"/>
        <v>-1</v>
      </c>
      <c r="J195" s="26">
        <f t="shared" si="26"/>
        <v>-1</v>
      </c>
      <c r="K195" s="27" t="str">
        <f t="shared" ref="K195:K201" si="36">IF(E195&lt;&gt;"",slope*LN(D195)+intercept,"")</f>
        <v/>
      </c>
      <c r="L195" s="28" t="str">
        <f t="shared" ref="L195:L201" si="37">IF((M195="yes"),IF(E195&lt;&gt;"",ABS((K195-H195)/J195*100),""),"")</f>
        <v/>
      </c>
      <c r="M195" s="23" t="str">
        <f t="shared" ref="M195:M201" si="38">IF(u_0.05&gt;D195,"","yes")</f>
        <v/>
      </c>
    </row>
    <row r="196" spans="2:13" ht="10.25" customHeight="1">
      <c r="B196" s="23" t="str">
        <f t="shared" si="33"/>
        <v/>
      </c>
      <c r="C196" s="29" t="str">
        <f t="shared" si="34"/>
        <v/>
      </c>
      <c r="D196" s="24"/>
      <c r="E196" s="30"/>
      <c r="F196" s="24"/>
      <c r="G196" s="25"/>
      <c r="H196" s="83" t="str">
        <f t="shared" si="35"/>
        <v/>
      </c>
      <c r="I196" s="26">
        <f t="shared" si="25"/>
        <v>-1</v>
      </c>
      <c r="J196" s="26">
        <f t="shared" si="26"/>
        <v>-1</v>
      </c>
      <c r="K196" s="27" t="str">
        <f t="shared" si="36"/>
        <v/>
      </c>
      <c r="L196" s="28" t="str">
        <f t="shared" si="37"/>
        <v/>
      </c>
      <c r="M196" s="23" t="str">
        <f t="shared" si="38"/>
        <v/>
      </c>
    </row>
    <row r="197" spans="2:13" ht="10.25" customHeight="1">
      <c r="B197" s="23" t="str">
        <f t="shared" si="33"/>
        <v/>
      </c>
      <c r="C197" s="29" t="str">
        <f t="shared" si="34"/>
        <v/>
      </c>
      <c r="D197" s="24"/>
      <c r="E197" s="30"/>
      <c r="F197" s="24"/>
      <c r="G197" s="25"/>
      <c r="H197" s="83" t="str">
        <f t="shared" si="35"/>
        <v/>
      </c>
      <c r="I197" s="26">
        <f t="shared" si="25"/>
        <v>-1</v>
      </c>
      <c r="J197" s="26">
        <f t="shared" si="26"/>
        <v>-1</v>
      </c>
      <c r="K197" s="27" t="str">
        <f t="shared" si="36"/>
        <v/>
      </c>
      <c r="L197" s="28" t="str">
        <f t="shared" si="37"/>
        <v/>
      </c>
      <c r="M197" s="23" t="str">
        <f t="shared" si="38"/>
        <v/>
      </c>
    </row>
    <row r="198" spans="2:13" ht="10.25" customHeight="1">
      <c r="B198" s="23" t="str">
        <f t="shared" si="33"/>
        <v/>
      </c>
      <c r="C198" s="29" t="str">
        <f t="shared" si="34"/>
        <v/>
      </c>
      <c r="D198" s="24"/>
      <c r="E198" s="30"/>
      <c r="F198" s="24"/>
      <c r="G198" s="25"/>
      <c r="H198" s="83" t="str">
        <f t="shared" si="35"/>
        <v/>
      </c>
      <c r="I198" s="26">
        <f t="shared" si="25"/>
        <v>-1</v>
      </c>
      <c r="J198" s="26">
        <f t="shared" si="26"/>
        <v>-1</v>
      </c>
      <c r="K198" s="27" t="str">
        <f t="shared" si="36"/>
        <v/>
      </c>
      <c r="L198" s="28" t="str">
        <f t="shared" si="37"/>
        <v/>
      </c>
      <c r="M198" s="23" t="str">
        <f t="shared" si="38"/>
        <v/>
      </c>
    </row>
    <row r="199" spans="2:13" ht="10.25" customHeight="1">
      <c r="B199" s="23" t="str">
        <f t="shared" si="33"/>
        <v/>
      </c>
      <c r="C199" s="29" t="str">
        <f t="shared" si="34"/>
        <v/>
      </c>
      <c r="D199" s="24"/>
      <c r="E199" s="30"/>
      <c r="F199" s="24"/>
      <c r="G199" s="25"/>
      <c r="H199" s="83" t="str">
        <f t="shared" si="35"/>
        <v/>
      </c>
      <c r="I199" s="26">
        <f t="shared" si="25"/>
        <v>-1</v>
      </c>
      <c r="J199" s="26">
        <f t="shared" si="26"/>
        <v>-1</v>
      </c>
      <c r="K199" s="27" t="str">
        <f t="shared" si="36"/>
        <v/>
      </c>
      <c r="L199" s="28" t="str">
        <f t="shared" si="37"/>
        <v/>
      </c>
      <c r="M199" s="23" t="str">
        <f t="shared" si="38"/>
        <v/>
      </c>
    </row>
    <row r="200" spans="2:13" ht="10.25" customHeight="1">
      <c r="B200" s="23" t="str">
        <f t="shared" si="33"/>
        <v/>
      </c>
      <c r="C200" s="29" t="str">
        <f t="shared" si="34"/>
        <v/>
      </c>
      <c r="D200" s="24"/>
      <c r="E200" s="30"/>
      <c r="F200" s="24"/>
      <c r="G200" s="25"/>
      <c r="H200" s="83" t="str">
        <f t="shared" si="35"/>
        <v/>
      </c>
      <c r="I200" s="26">
        <f t="shared" si="25"/>
        <v>-1</v>
      </c>
      <c r="J200" s="26">
        <f t="shared" si="26"/>
        <v>-1</v>
      </c>
      <c r="K200" s="27" t="str">
        <f t="shared" si="36"/>
        <v/>
      </c>
      <c r="L200" s="28" t="str">
        <f t="shared" si="37"/>
        <v/>
      </c>
      <c r="M200" s="23" t="str">
        <f t="shared" si="38"/>
        <v/>
      </c>
    </row>
    <row r="201" spans="2:13" ht="10.25" customHeight="1">
      <c r="B201" s="23" t="str">
        <f t="shared" si="33"/>
        <v/>
      </c>
      <c r="C201" s="29" t="str">
        <f t="shared" si="34"/>
        <v/>
      </c>
      <c r="D201" s="24"/>
      <c r="E201" s="30"/>
      <c r="F201" s="24"/>
      <c r="G201" s="25"/>
      <c r="H201" s="83" t="str">
        <f t="shared" si="35"/>
        <v/>
      </c>
      <c r="I201" s="26">
        <f t="shared" si="25"/>
        <v>-1</v>
      </c>
      <c r="J201" s="26">
        <f t="shared" si="26"/>
        <v>-1</v>
      </c>
      <c r="K201" s="27" t="str">
        <f t="shared" si="36"/>
        <v/>
      </c>
      <c r="L201" s="28" t="str">
        <f t="shared" si="37"/>
        <v/>
      </c>
      <c r="M201" s="23" t="str">
        <f t="shared" si="38"/>
        <v/>
      </c>
    </row>
  </sheetData>
  <sheetProtection password="A86B" sheet="1" objects="1" scenarios="1"/>
  <mergeCells count="6">
    <mergeCell ref="L6:N6"/>
    <mergeCell ref="L7:N7"/>
    <mergeCell ref="B1:M1"/>
    <mergeCell ref="L3:N3"/>
    <mergeCell ref="L4:N4"/>
    <mergeCell ref="L5:N5"/>
  </mergeCells>
  <phoneticPr fontId="0" type="noConversion"/>
  <pageMargins left="0.78740157499999996" right="0.5" top="0.984251969" bottom="0.984251969" header="0.5" footer="0.5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H56"/>
  <sheetViews>
    <sheetView workbookViewId="0">
      <selection activeCell="H1" sqref="H1"/>
    </sheetView>
  </sheetViews>
  <sheetFormatPr baseColWidth="10" defaultColWidth="8.83203125" defaultRowHeight="12" x14ac:dyDescent="0"/>
  <cols>
    <col min="1" max="1" width="8.83203125" style="15"/>
    <col min="2" max="2" width="14.33203125" style="15" customWidth="1"/>
    <col min="3" max="3" width="8.83203125" style="15"/>
    <col min="4" max="4" width="10.33203125" style="15" bestFit="1" customWidth="1"/>
    <col min="5" max="5" width="8.83203125" style="15"/>
    <col min="6" max="6" width="13.5" style="15" customWidth="1"/>
    <col min="7" max="7" width="14.5" style="15" customWidth="1"/>
    <col min="8" max="16384" width="8.83203125" style="15"/>
  </cols>
  <sheetData>
    <row r="1" spans="1:8" s="10" customFormat="1" ht="17">
      <c r="B1" s="131" t="str">
        <f>info3a&amp; "  " &amp; info5a &amp;" Constant Rate Test"</f>
        <v>NJALA  1 Constant Rate Test</v>
      </c>
      <c r="C1" s="131"/>
      <c r="D1" s="131"/>
      <c r="E1" s="131"/>
      <c r="F1" s="131"/>
      <c r="G1" s="131"/>
      <c r="H1" s="51"/>
    </row>
    <row r="3" spans="1:8" s="43" customFormat="1" ht="13.25" customHeight="1">
      <c r="B3" s="44" t="str">
        <f>info1 &amp;" "&amp;info1a</f>
        <v>Project : RWSSP</v>
      </c>
      <c r="C3" s="45"/>
      <c r="D3" s="45"/>
      <c r="F3" s="43" t="str">
        <f>info9 &amp;" "&amp;distance_r&amp;" m"</f>
        <v>Distance to Pumping Well : 0,1 m</v>
      </c>
      <c r="G3" s="46"/>
    </row>
    <row r="4" spans="1:8" s="43" customFormat="1" ht="13.25" customHeight="1">
      <c r="B4" s="44" t="str">
        <f>info2 &amp;" "&amp;info2a</f>
        <v>District : PUJEHUN</v>
      </c>
      <c r="C4" s="44"/>
      <c r="D4" s="44"/>
      <c r="F4" s="43" t="str">
        <f>info10 &amp;" "&amp;Q&amp;" m3/d"</f>
        <v>Pumping rate : 118,8 m3/d</v>
      </c>
      <c r="G4" s="46"/>
    </row>
    <row r="5" spans="1:8" s="43" customFormat="1" ht="13.25" customHeight="1">
      <c r="B5" s="47" t="str">
        <f>info3 &amp;" "&amp;info3a</f>
        <v>Community : NJALA</v>
      </c>
      <c r="C5" s="47"/>
      <c r="D5" s="47"/>
      <c r="F5" s="43" t="str">
        <f>info11 &amp;" "&amp;watertable &amp;" m"</f>
        <v>Static Water level : 1,77 m</v>
      </c>
      <c r="G5" s="46"/>
    </row>
    <row r="6" spans="1:8" s="43" customFormat="1" ht="13.25" customHeight="1">
      <c r="B6" s="47" t="str">
        <f>info4 &amp;" "&amp;info4a</f>
        <v>Pumping Well : 1</v>
      </c>
      <c r="C6" s="47"/>
      <c r="D6" s="47"/>
      <c r="F6" s="43" t="str">
        <f>info12 &amp;" "&amp;info12a</f>
        <v>Measurement Datum : 0,73</v>
      </c>
      <c r="G6" s="48"/>
    </row>
    <row r="7" spans="1:8" s="43" customFormat="1" ht="13.25" customHeight="1">
      <c r="B7" s="47" t="str">
        <f>info5 &amp;" "&amp;info5a</f>
        <v>Observation Well : 1</v>
      </c>
      <c r="C7" s="47"/>
      <c r="D7" s="47"/>
      <c r="F7" s="43" t="str">
        <f>info13 &amp;" "&amp;info13a</f>
        <v>Pump on : 23/07/2016</v>
      </c>
      <c r="G7" s="48"/>
    </row>
    <row r="8" spans="1:8" s="43" customFormat="1" ht="13.25" customHeight="1">
      <c r="B8" s="47" t="str">
        <f>info6 &amp;"  "&amp;info6a</f>
        <v>Eastings :  E  00° 00' 00.0"</v>
      </c>
      <c r="C8" s="47"/>
      <c r="D8" s="47"/>
      <c r="F8" s="43" t="str">
        <f>info14 &amp;" "&amp;info14a</f>
        <v>Pump off : 23/07/2016</v>
      </c>
      <c r="G8" s="48"/>
    </row>
    <row r="9" spans="1:8" s="43" customFormat="1" ht="13.25" customHeight="1">
      <c r="B9" s="47" t="str">
        <f>info7 &amp;" "&amp;info7a</f>
        <v>Northings : N  00° 00' 00.0"</v>
      </c>
      <c r="C9" s="47"/>
      <c r="D9" s="47"/>
      <c r="F9" s="43" t="str">
        <f>info15 &amp;" "&amp;info15a</f>
        <v>Measured by : Contractor</v>
      </c>
      <c r="G9" s="46"/>
    </row>
    <row r="10" spans="1:8" s="43" customFormat="1" ht="13.25" customHeight="1">
      <c r="B10" s="44" t="str">
        <f>info8 &amp;" "&amp;info8a</f>
        <v>GPS Datum : GPS Datum</v>
      </c>
      <c r="C10" s="44"/>
      <c r="D10" s="44"/>
      <c r="F10" s="43" t="str">
        <f>info16 &amp;" "&amp;info16a</f>
        <v>Interpreted by : Hydrogeologist</v>
      </c>
      <c r="G10" s="46"/>
    </row>
    <row r="11" spans="1:8" s="43" customFormat="1" ht="10">
      <c r="B11" s="42"/>
      <c r="C11" s="41"/>
    </row>
    <row r="12" spans="1:8" s="10" customFormat="1" ht="15.5" customHeight="1">
      <c r="A12" s="12"/>
      <c r="B12" s="39" t="s">
        <v>44</v>
      </c>
      <c r="C12" s="49">
        <f>transmissivity</f>
        <v>3.0642426430801248</v>
      </c>
      <c r="D12" s="13" t="s">
        <v>61</v>
      </c>
      <c r="E12" s="13"/>
      <c r="F12" s="44" t="s">
        <v>58</v>
      </c>
      <c r="G12" s="130">
        <f>error</f>
        <v>15282.67315034181</v>
      </c>
      <c r="H12" s="130"/>
    </row>
    <row r="13" spans="1:8">
      <c r="B13" s="39" t="str">
        <f>IF(distance_r&gt;3,"Storativity  :","")</f>
        <v/>
      </c>
      <c r="C13" s="50" t="str">
        <f>IF(distance_r&gt;3,storativity,"")</f>
        <v/>
      </c>
      <c r="D13" s="40"/>
      <c r="G13" s="11"/>
    </row>
    <row r="14" spans="1:8">
      <c r="B14" s="43"/>
      <c r="C14" s="43"/>
      <c r="D14" s="43"/>
    </row>
    <row r="55" spans="2:2">
      <c r="B55" s="14"/>
    </row>
    <row r="56" spans="2:2">
      <c r="B56" s="14" t="str">
        <f ca="1">CELL("filename")</f>
        <v>Macintosh HD:Users:gillessalome:Dropbox:SierraLeone-RWSSP:C1-BOREHOLE (WINGIN BRUNNBRAU):PUMPING TEST RESULTS &amp; INST DEPTHS:HP BOREHOLES:[HP install depth seen PDW 20082016 (calculations).xlsx]Pujehun</v>
      </c>
    </row>
  </sheetData>
  <sheetProtection password="A86B" sheet="1" objects="1" scenarios="1"/>
  <mergeCells count="2">
    <mergeCell ref="G12:H12"/>
    <mergeCell ref="B1:G1"/>
  </mergeCells>
  <phoneticPr fontId="0" type="noConversion"/>
  <pageMargins left="0.74803149606299213" right="0.51181102362204722" top="0.98425196850393704" bottom="0.59055118110236227" header="0.51181102362204722" footer="0.51181102362204722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F32"/>
  <sheetViews>
    <sheetView workbookViewId="0">
      <selection activeCell="B11" sqref="B11"/>
    </sheetView>
  </sheetViews>
  <sheetFormatPr baseColWidth="10" defaultColWidth="8.83203125" defaultRowHeight="12" x14ac:dyDescent="0"/>
  <cols>
    <col min="1" max="1" width="20.83203125" style="57" customWidth="1"/>
    <col min="2" max="2" width="11.6640625" style="53" customWidth="1"/>
    <col min="3" max="3" width="12.33203125" style="53" customWidth="1"/>
    <col min="4" max="4" width="13.5" style="53" customWidth="1"/>
    <col min="5" max="5" width="8.83203125" style="54"/>
    <col min="6" max="6" width="12.33203125" style="54" bestFit="1" customWidth="1"/>
    <col min="7" max="16384" width="8.83203125" style="54"/>
  </cols>
  <sheetData>
    <row r="1" spans="1:6">
      <c r="A1" s="14" t="str">
        <f ca="1">CELL("filename")</f>
        <v>Macintosh HD:Users:gillessalome:Dropbox:SierraLeone-RWSSP:C1-BOREHOLE (WINGIN BRUNNBRAU):PUMPING TEST RESULTS &amp; INST DEPTHS:HP BOREHOLES:[HP install depth seen PDW 20082016 (calculations).xlsx]Pujehun</v>
      </c>
    </row>
    <row r="3" spans="1:6" s="55" customFormat="1">
      <c r="B3" s="56" t="s">
        <v>3</v>
      </c>
      <c r="C3" s="56" t="s">
        <v>4</v>
      </c>
      <c r="D3" s="56" t="s">
        <v>12</v>
      </c>
    </row>
    <row r="4" spans="1:6">
      <c r="A4" s="57" t="s">
        <v>8</v>
      </c>
      <c r="B4" s="52">
        <v>11.694993910198715</v>
      </c>
      <c r="C4" s="52">
        <v>3.83</v>
      </c>
      <c r="D4" s="53">
        <f>LN(Xpt1)</f>
        <v>2.4591608793176412</v>
      </c>
      <c r="F4" s="53"/>
    </row>
    <row r="5" spans="1:6">
      <c r="A5" s="57" t="s">
        <v>9</v>
      </c>
      <c r="B5" s="52">
        <v>5984.1159506032018</v>
      </c>
      <c r="C5" s="52">
        <v>23.05</v>
      </c>
      <c r="D5" s="53">
        <f>LN(Xpt2)</f>
        <v>8.6968638962385114</v>
      </c>
      <c r="F5" s="53"/>
    </row>
    <row r="7" spans="1:6">
      <c r="B7" s="56" t="s">
        <v>5</v>
      </c>
      <c r="C7" s="56" t="s">
        <v>6</v>
      </c>
    </row>
    <row r="8" spans="1:6">
      <c r="A8" s="57" t="s">
        <v>11</v>
      </c>
      <c r="B8" s="53">
        <f t="array" ref="B8:C8">LINEST(C4:C5,D4:D5)</f>
        <v>3.0812624371282755</v>
      </c>
      <c r="C8" s="53">
        <v>-3.7473200442967851</v>
      </c>
    </row>
    <row r="9" spans="1:6">
      <c r="A9" s="57" t="s">
        <v>56</v>
      </c>
      <c r="B9" s="58">
        <f>AVERAGE(Data!L14:L125)</f>
        <v>15282.67315034181</v>
      </c>
      <c r="C9" s="59" t="s">
        <v>54</v>
      </c>
    </row>
    <row r="10" spans="1:6">
      <c r="A10" s="57" t="s">
        <v>55</v>
      </c>
      <c r="B10" s="58">
        <f>SUMXMY2(Data!H14:H125,Data!K14:K125)</f>
        <v>3380.0328395196384</v>
      </c>
      <c r="C10" s="59" t="s">
        <v>10</v>
      </c>
    </row>
    <row r="11" spans="1:6">
      <c r="B11" s="58"/>
      <c r="C11" s="59"/>
    </row>
    <row r="12" spans="1:6">
      <c r="C12" s="59"/>
    </row>
    <row r="13" spans="1:6">
      <c r="A13" s="57" t="s">
        <v>16</v>
      </c>
      <c r="B13" s="53">
        <f>LN(10)*slope</f>
        <v>7.0948689553340705</v>
      </c>
      <c r="C13" s="53" t="s">
        <v>17</v>
      </c>
    </row>
    <row r="14" spans="1:6">
      <c r="A14" s="57" t="s">
        <v>20</v>
      </c>
      <c r="B14" s="60">
        <f>(EXP(-intercept/slope))/1440</f>
        <v>2.3432075873457271E-3</v>
      </c>
      <c r="C14" s="53" t="s">
        <v>21</v>
      </c>
    </row>
    <row r="17" spans="1:4">
      <c r="A17" s="57" t="s">
        <v>18</v>
      </c>
      <c r="B17" s="61">
        <f>0.183*Q/deltaS</f>
        <v>3.0642426430801248</v>
      </c>
      <c r="C17" s="53" t="s">
        <v>15</v>
      </c>
    </row>
    <row r="18" spans="1:4">
      <c r="A18" s="57" t="s">
        <v>19</v>
      </c>
      <c r="B18" s="62">
        <f>(2.25*transmissivity*t0)/(distance_r^2)</f>
        <v>1.615535237415076</v>
      </c>
      <c r="C18" s="62"/>
    </row>
    <row r="21" spans="1:4">
      <c r="A21" s="57" t="s">
        <v>22</v>
      </c>
      <c r="B21" s="58">
        <f>((distance_r^2)*storativity)/(4*transmissivity*0.05)</f>
        <v>2.6361085357639424E-2</v>
      </c>
      <c r="C21" s="53" t="s">
        <v>21</v>
      </c>
      <c r="D21" s="58"/>
    </row>
    <row r="22" spans="1:4">
      <c r="B22" s="53">
        <f>B21*1440</f>
        <v>37.959962915000773</v>
      </c>
      <c r="C22" s="53" t="s">
        <v>23</v>
      </c>
    </row>
    <row r="24" spans="1:4">
      <c r="C24" s="63" t="s">
        <v>26</v>
      </c>
    </row>
    <row r="25" spans="1:4">
      <c r="A25" s="57" t="s">
        <v>24</v>
      </c>
      <c r="B25" s="53">
        <f>MIN(Data!H14:H123)</f>
        <v>1.0000000000000009E-2</v>
      </c>
      <c r="C25" s="53">
        <f>u_0.05</f>
        <v>37.959962915000773</v>
      </c>
    </row>
    <row r="26" spans="1:4">
      <c r="A26" s="57" t="s">
        <v>25</v>
      </c>
      <c r="B26" s="53">
        <f>(MAX(Data!H14:H123))</f>
        <v>0.52</v>
      </c>
      <c r="C26" s="53">
        <f>u_0.05</f>
        <v>37.959962915000773</v>
      </c>
    </row>
    <row r="29" spans="1:4">
      <c r="A29" s="64" t="s">
        <v>63</v>
      </c>
      <c r="B29" s="65" t="s">
        <v>64</v>
      </c>
    </row>
    <row r="30" spans="1:4">
      <c r="B30" s="65" t="s">
        <v>65</v>
      </c>
    </row>
    <row r="31" spans="1:4">
      <c r="B31" s="65" t="s">
        <v>66</v>
      </c>
    </row>
    <row r="32" spans="1:4">
      <c r="B32" s="65" t="s">
        <v>67</v>
      </c>
    </row>
  </sheetData>
  <sheetProtection password="A86B" sheet="1" objects="1" scenarios="1"/>
  <phoneticPr fontId="0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Info</vt:lpstr>
      <vt:lpstr>Data</vt:lpstr>
      <vt:lpstr>Print</vt:lpstr>
      <vt:lpstr>Calcs</vt:lpstr>
      <vt:lpstr>Chart</vt:lpstr>
      <vt:lpstr>Analysis</vt:lpstr>
    </vt:vector>
  </TitlesOfParts>
  <Company>Geosearch International Ltd</Company>
  <LinksUpToDate>false</LinksUpToDate>
  <SharedDoc>false</SharedDoc>
  <HyperlinkBase>www.geosearch.co.uk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Cooper-Jakob (1946) Straight Line Pumping Test Analysis</dc:title>
  <dc:subject>Pumping Test Analysis</dc:subject>
  <dc:creator>gilles</dc:creator>
  <dc:description>Visit www.geosearch.co.uk_x000d_
and click on Resources_x000d_
for an update of this spreadsheet</dc:description>
  <cp:lastModifiedBy>Gilles Salomé</cp:lastModifiedBy>
  <cp:lastPrinted>2014-07-31T11:20:09Z</cp:lastPrinted>
  <dcterms:created xsi:type="dcterms:W3CDTF">2002-08-21T21:33:47Z</dcterms:created>
  <dcterms:modified xsi:type="dcterms:W3CDTF">2016-08-21T09:38:32Z</dcterms:modified>
</cp:coreProperties>
</file>